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760" firstSheet="1" activeTab="3"/>
  </bookViews>
  <sheets>
    <sheet name="SUMMARY" sheetId="1" r:id="rId1"/>
    <sheet name="Bandwidth" sheetId="6" r:id="rId2"/>
    <sheet name="Cisco IP phone system" sheetId="2" r:id="rId3"/>
    <sheet name="Differ" sheetId="7" r:id="rId4"/>
    <sheet name="Toepfer access system upgrade" sheetId="5" r:id="rId5"/>
    <sheet name="Virtualization-Servers" sheetId="4" r:id="rId6"/>
    <sheet name="Wireless" sheetId="3" r:id="rId7"/>
  </sheets>
  <definedNames>
    <definedName name="_xlnm.Print_Area" localSheetId="3">Differ!$B$35:$N$40</definedName>
  </definedNames>
  <calcPr calcId="145621"/>
</workbook>
</file>

<file path=xl/calcChain.xml><?xml version="1.0" encoding="utf-8"?>
<calcChain xmlns="http://schemas.openxmlformats.org/spreadsheetml/2006/main">
  <c r="F40" i="7" l="1"/>
  <c r="I35" i="7"/>
  <c r="K35" i="7" l="1"/>
  <c r="M35" i="7" s="1"/>
  <c r="I36" i="7"/>
  <c r="K36" i="7" s="1"/>
  <c r="I38" i="7"/>
  <c r="I37" i="7"/>
  <c r="K37" i="7" s="1"/>
  <c r="M37" i="7" s="1"/>
  <c r="K18" i="7"/>
  <c r="I18" i="7"/>
  <c r="M18" i="7" s="1"/>
  <c r="C145" i="7"/>
  <c r="B145" i="7"/>
  <c r="E144" i="7"/>
  <c r="C144" i="7"/>
  <c r="E143" i="7"/>
  <c r="E145" i="7" s="1"/>
  <c r="C143" i="7"/>
  <c r="F143" i="7" s="1"/>
  <c r="E136" i="7"/>
  <c r="C136" i="7"/>
  <c r="B136" i="7"/>
  <c r="E135" i="7"/>
  <c r="C135" i="7"/>
  <c r="F135" i="7" s="1"/>
  <c r="E134" i="7"/>
  <c r="C134" i="7"/>
  <c r="F134" i="7" s="1"/>
  <c r="E130" i="7"/>
  <c r="C130" i="7"/>
  <c r="B130" i="7"/>
  <c r="F129" i="7"/>
  <c r="F128" i="7"/>
  <c r="F122" i="7"/>
  <c r="H122" i="7" s="1"/>
  <c r="F116" i="7"/>
  <c r="H116" i="7" s="1"/>
  <c r="B111" i="7"/>
  <c r="E110" i="7"/>
  <c r="E111" i="7" s="1"/>
  <c r="C110" i="7"/>
  <c r="C111" i="7" s="1"/>
  <c r="F111" i="7" s="1"/>
  <c r="E106" i="7"/>
  <c r="C106" i="7"/>
  <c r="C102" i="7"/>
  <c r="B102" i="7"/>
  <c r="F101" i="7"/>
  <c r="F100" i="7"/>
  <c r="B96" i="7"/>
  <c r="E95" i="7"/>
  <c r="E96" i="7" s="1"/>
  <c r="C95" i="7"/>
  <c r="F95" i="7" s="1"/>
  <c r="B91" i="7"/>
  <c r="E90" i="7"/>
  <c r="C90" i="7"/>
  <c r="E89" i="7"/>
  <c r="E91" i="7" s="1"/>
  <c r="C89" i="7"/>
  <c r="F89" i="7" s="1"/>
  <c r="F85" i="7"/>
  <c r="H85" i="7" s="1"/>
  <c r="B81" i="7"/>
  <c r="E80" i="7"/>
  <c r="F80" i="7" s="1"/>
  <c r="C80" i="7"/>
  <c r="E79" i="7"/>
  <c r="C79" i="7"/>
  <c r="F79" i="7" s="1"/>
  <c r="E78" i="7"/>
  <c r="C78" i="7"/>
  <c r="F78" i="7" s="1"/>
  <c r="E77" i="7"/>
  <c r="C77" i="7"/>
  <c r="F77" i="7" s="1"/>
  <c r="E76" i="7"/>
  <c r="C76" i="7"/>
  <c r="E69" i="7"/>
  <c r="C69" i="7"/>
  <c r="F69" i="7" s="1"/>
  <c r="H69" i="7" s="1"/>
  <c r="C65" i="7"/>
  <c r="B65" i="7"/>
  <c r="F64" i="7"/>
  <c r="F63" i="7"/>
  <c r="F62" i="7"/>
  <c r="B58" i="7"/>
  <c r="E57" i="7"/>
  <c r="C57" i="7"/>
  <c r="E56" i="7"/>
  <c r="C56" i="7"/>
  <c r="F56" i="7" s="1"/>
  <c r="E55" i="7"/>
  <c r="C55" i="7"/>
  <c r="E54" i="7"/>
  <c r="C54" i="7"/>
  <c r="F54" i="7" s="1"/>
  <c r="E50" i="7"/>
  <c r="C50" i="7"/>
  <c r="B46" i="7"/>
  <c r="E45" i="7"/>
  <c r="C45" i="7"/>
  <c r="F45" i="7" s="1"/>
  <c r="E44" i="7"/>
  <c r="C44" i="7"/>
  <c r="E43" i="7"/>
  <c r="C43" i="7"/>
  <c r="F43" i="7" s="1"/>
  <c r="B39" i="7"/>
  <c r="E38" i="7"/>
  <c r="C38" i="7"/>
  <c r="F38" i="7" s="1"/>
  <c r="E37" i="7"/>
  <c r="C37" i="7"/>
  <c r="C36" i="7"/>
  <c r="F36" i="7" s="1"/>
  <c r="F32" i="7"/>
  <c r="H32" i="7" s="1"/>
  <c r="F26" i="7"/>
  <c r="H26" i="7" s="1"/>
  <c r="E19" i="7"/>
  <c r="C19" i="7"/>
  <c r="B19" i="7"/>
  <c r="E18" i="7"/>
  <c r="C18" i="7"/>
  <c r="F18" i="7" s="1"/>
  <c r="F19" i="7" s="1"/>
  <c r="F136" i="7" l="1"/>
  <c r="H136" i="7" s="1"/>
  <c r="I39" i="7"/>
  <c r="C46" i="7"/>
  <c r="E58" i="7"/>
  <c r="F130" i="7"/>
  <c r="H130" i="7" s="1"/>
  <c r="F144" i="7"/>
  <c r="F145" i="7"/>
  <c r="H145" i="7" s="1"/>
  <c r="C39" i="7"/>
  <c r="E81" i="7"/>
  <c r="E39" i="7"/>
  <c r="E46" i="7"/>
  <c r="F55" i="7"/>
  <c r="F65" i="7"/>
  <c r="H65" i="7" s="1"/>
  <c r="F106" i="7"/>
  <c r="H106" i="7" s="1"/>
  <c r="F57" i="7"/>
  <c r="F58" i="7" s="1"/>
  <c r="H58" i="7" s="1"/>
  <c r="G122" i="7"/>
  <c r="C81" i="7"/>
  <c r="F90" i="7"/>
  <c r="F102" i="7"/>
  <c r="H102" i="7" s="1"/>
  <c r="F110" i="7"/>
  <c r="H111" i="7" s="1"/>
  <c r="M36" i="7"/>
  <c r="N36" i="7" s="1"/>
  <c r="E150" i="7"/>
  <c r="F37" i="7"/>
  <c r="F39" i="7" s="1"/>
  <c r="F50" i="7"/>
  <c r="H50" i="7" s="1"/>
  <c r="K38" i="7"/>
  <c r="M38" i="7" s="1"/>
  <c r="N38" i="7" s="1"/>
  <c r="F91" i="7"/>
  <c r="H91" i="7" s="1"/>
  <c r="H19" i="7"/>
  <c r="E147" i="7"/>
  <c r="F44" i="7"/>
  <c r="F46" i="7" s="1"/>
  <c r="H46" i="7" s="1"/>
  <c r="C91" i="7"/>
  <c r="C96" i="7"/>
  <c r="F96" i="7" s="1"/>
  <c r="H96" i="7" s="1"/>
  <c r="C58" i="7"/>
  <c r="F76" i="7"/>
  <c r="F81" i="7" s="1"/>
  <c r="H81" i="7" s="1"/>
  <c r="D88" i="4"/>
  <c r="C88" i="4"/>
  <c r="G85" i="4"/>
  <c r="G84" i="4"/>
  <c r="C147" i="7" l="1"/>
  <c r="N37" i="7"/>
  <c r="K39" i="7"/>
  <c r="M39" i="7"/>
  <c r="N39" i="7" s="1"/>
  <c r="C150" i="7"/>
  <c r="F150" i="7" s="1"/>
  <c r="H147" i="7"/>
  <c r="F147" i="7"/>
  <c r="E58" i="2"/>
  <c r="E122" i="2" l="1"/>
  <c r="E111" i="2"/>
  <c r="E96" i="2"/>
  <c r="D150" i="2"/>
  <c r="E150" i="2"/>
  <c r="D145" i="2"/>
  <c r="D130" i="2" l="1"/>
  <c r="C150" i="2"/>
  <c r="D135" i="2" l="1"/>
  <c r="C135" i="2"/>
  <c r="E135" i="2" s="1"/>
  <c r="C134" i="2"/>
  <c r="D134" i="2"/>
  <c r="D136" i="2" s="1"/>
  <c r="B136" i="2"/>
  <c r="C130" i="2"/>
  <c r="E129" i="2"/>
  <c r="B130" i="2"/>
  <c r="E128" i="2"/>
  <c r="E134" i="2" l="1"/>
  <c r="E136" i="2" s="1"/>
  <c r="G136" i="2" s="1"/>
  <c r="C136" i="2"/>
  <c r="E130" i="2"/>
  <c r="G130" i="2" s="1"/>
  <c r="D144" i="2"/>
  <c r="C144" i="2"/>
  <c r="D143" i="2"/>
  <c r="C143" i="2"/>
  <c r="B145" i="2"/>
  <c r="C145" i="2" l="1"/>
  <c r="E144" i="2"/>
  <c r="E143" i="2"/>
  <c r="F122" i="2"/>
  <c r="G122" i="2"/>
  <c r="E116" i="2"/>
  <c r="G116" i="2" s="1"/>
  <c r="E145" i="2" l="1"/>
  <c r="G145" i="2" s="1"/>
  <c r="E9" i="6"/>
  <c r="D9" i="6"/>
  <c r="C9" i="6"/>
  <c r="G6" i="6"/>
  <c r="D5" i="6"/>
  <c r="B5" i="6"/>
  <c r="C5" i="6"/>
  <c r="E3" i="6"/>
  <c r="E5" i="6" s="1"/>
  <c r="E4" i="6" l="1"/>
  <c r="G5" i="6" s="1"/>
  <c r="D77" i="4"/>
  <c r="C77" i="4"/>
  <c r="E77" i="4" s="1"/>
  <c r="D76" i="4"/>
  <c r="C76" i="4"/>
  <c r="E76" i="4" s="1"/>
  <c r="D78" i="4"/>
  <c r="B78" i="4"/>
  <c r="C78" i="4" l="1"/>
  <c r="E78" i="4"/>
  <c r="G78" i="4" s="1"/>
  <c r="D106" i="2"/>
  <c r="C106" i="2"/>
  <c r="E106" i="2" l="1"/>
  <c r="G106" i="2" s="1"/>
  <c r="D110" i="2"/>
  <c r="C110" i="2"/>
  <c r="C111" i="2" s="1"/>
  <c r="B111" i="2"/>
  <c r="C102" i="2"/>
  <c r="B102" i="2"/>
  <c r="E101" i="2"/>
  <c r="E100" i="2"/>
  <c r="E102" i="2" l="1"/>
  <c r="G102" i="2" s="1"/>
  <c r="E110" i="2"/>
  <c r="D111" i="2"/>
  <c r="C56" i="5"/>
  <c r="D50" i="5"/>
  <c r="D52" i="5" s="1"/>
  <c r="C50" i="5"/>
  <c r="D51" i="5"/>
  <c r="C51" i="5"/>
  <c r="C52" i="5" s="1"/>
  <c r="B52" i="5"/>
  <c r="E45" i="5"/>
  <c r="B47" i="5"/>
  <c r="E46" i="5"/>
  <c r="E44" i="5"/>
  <c r="E43" i="5"/>
  <c r="E42" i="5"/>
  <c r="E41" i="5"/>
  <c r="D47" i="5"/>
  <c r="C47" i="5"/>
  <c r="D32" i="5"/>
  <c r="D37" i="5" s="1"/>
  <c r="C32" i="5"/>
  <c r="C37" i="5" s="1"/>
  <c r="B37" i="5"/>
  <c r="E36" i="5"/>
  <c r="E35" i="5"/>
  <c r="E34" i="5"/>
  <c r="E33" i="5"/>
  <c r="B28" i="5"/>
  <c r="E27" i="5"/>
  <c r="E25" i="5"/>
  <c r="E24" i="5"/>
  <c r="E23" i="5"/>
  <c r="E21" i="5"/>
  <c r="E13" i="5"/>
  <c r="B16" i="5"/>
  <c r="E15" i="5"/>
  <c r="D10" i="5"/>
  <c r="C10" i="5"/>
  <c r="E10" i="5" s="1"/>
  <c r="D9" i="5"/>
  <c r="C9" i="5"/>
  <c r="D6" i="5"/>
  <c r="C6" i="5"/>
  <c r="D5" i="5"/>
  <c r="C5" i="5"/>
  <c r="E5" i="5" s="1"/>
  <c r="D4" i="5"/>
  <c r="C4" i="5"/>
  <c r="G111" i="2" l="1"/>
  <c r="E50" i="5"/>
  <c r="E52" i="5" s="1"/>
  <c r="G52" i="5" s="1"/>
  <c r="E51" i="5"/>
  <c r="E47" i="5"/>
  <c r="G47" i="5" s="1"/>
  <c r="E32" i="5"/>
  <c r="E37" i="5" s="1"/>
  <c r="G37" i="5" s="1"/>
  <c r="E6" i="5"/>
  <c r="E9" i="5"/>
  <c r="E14" i="5"/>
  <c r="E22" i="5"/>
  <c r="C16" i="5"/>
  <c r="E20" i="5"/>
  <c r="E11" i="5"/>
  <c r="E26" i="5"/>
  <c r="D28" i="5"/>
  <c r="D16" i="5"/>
  <c r="D56" i="5" s="1"/>
  <c r="E56" i="5" s="1"/>
  <c r="E7" i="5"/>
  <c r="E8" i="5"/>
  <c r="E12" i="5"/>
  <c r="E4" i="5"/>
  <c r="E38" i="4"/>
  <c r="D38" i="4"/>
  <c r="C38" i="4"/>
  <c r="D37" i="4"/>
  <c r="C37" i="4"/>
  <c r="E37" i="4" s="1"/>
  <c r="E28" i="5" l="1"/>
  <c r="G28" i="5" s="1"/>
  <c r="E16" i="5"/>
  <c r="G16" i="5" s="1"/>
  <c r="G53" i="5" s="1"/>
  <c r="C95" i="2"/>
  <c r="D95" i="2"/>
  <c r="B96" i="2"/>
  <c r="E95" i="2" l="1"/>
  <c r="G96" i="2" s="1"/>
  <c r="D96" i="2"/>
  <c r="C96" i="2"/>
  <c r="D83" i="4"/>
  <c r="C83" i="4"/>
  <c r="D82" i="4"/>
  <c r="C82" i="4"/>
  <c r="B84" i="4"/>
  <c r="E83" i="4" l="1"/>
  <c r="C84" i="4"/>
  <c r="D84" i="4"/>
  <c r="E82" i="4"/>
  <c r="D90" i="2"/>
  <c r="C90" i="2"/>
  <c r="D89" i="2"/>
  <c r="C89" i="2"/>
  <c r="B91" i="2"/>
  <c r="E85" i="2"/>
  <c r="G85" i="2" s="1"/>
  <c r="D80" i="2"/>
  <c r="C80" i="2"/>
  <c r="D79" i="2"/>
  <c r="C79" i="2"/>
  <c r="D78" i="2"/>
  <c r="C78" i="2"/>
  <c r="D77" i="2"/>
  <c r="C77" i="2"/>
  <c r="D76" i="2"/>
  <c r="C76" i="2"/>
  <c r="B81" i="2"/>
  <c r="D71" i="4"/>
  <c r="C71" i="4"/>
  <c r="D70" i="4"/>
  <c r="C70" i="4"/>
  <c r="D69" i="4"/>
  <c r="C69" i="4"/>
  <c r="D68" i="4"/>
  <c r="C68" i="4"/>
  <c r="D67" i="4"/>
  <c r="C67" i="4"/>
  <c r="D66" i="4"/>
  <c r="C66" i="4"/>
  <c r="B72" i="4"/>
  <c r="D61" i="4"/>
  <c r="C61" i="4"/>
  <c r="D60" i="4"/>
  <c r="C60" i="4"/>
  <c r="D59" i="4"/>
  <c r="C59" i="4"/>
  <c r="E59" i="4" s="1"/>
  <c r="D58" i="4"/>
  <c r="C58" i="4"/>
  <c r="D57" i="4"/>
  <c r="C57" i="4"/>
  <c r="B62" i="4"/>
  <c r="D58" i="3"/>
  <c r="C58" i="3"/>
  <c r="E54" i="3"/>
  <c r="G54" i="3" s="1"/>
  <c r="G56" i="3" s="1"/>
  <c r="D49" i="3"/>
  <c r="C49" i="3"/>
  <c r="E49" i="3" s="1"/>
  <c r="D48" i="3"/>
  <c r="C48" i="3"/>
  <c r="D47" i="3"/>
  <c r="C47" i="3"/>
  <c r="E47" i="3" s="1"/>
  <c r="D46" i="3"/>
  <c r="C46" i="3"/>
  <c r="E46" i="3" s="1"/>
  <c r="D45" i="3"/>
  <c r="C45" i="3"/>
  <c r="B50" i="3"/>
  <c r="D40" i="3"/>
  <c r="C40" i="3"/>
  <c r="E40" i="3" s="1"/>
  <c r="D39" i="3"/>
  <c r="C39" i="3"/>
  <c r="D38" i="3"/>
  <c r="C38" i="3"/>
  <c r="E38" i="3" s="1"/>
  <c r="B41" i="3"/>
  <c r="E57" i="4" l="1"/>
  <c r="E61" i="4"/>
  <c r="E77" i="2"/>
  <c r="E80" i="2"/>
  <c r="E90" i="2"/>
  <c r="D91" i="2"/>
  <c r="E68" i="4"/>
  <c r="E84" i="4"/>
  <c r="E70" i="4"/>
  <c r="E79" i="2"/>
  <c r="E89" i="2"/>
  <c r="C91" i="2"/>
  <c r="D81" i="2"/>
  <c r="E78" i="2"/>
  <c r="C81" i="2"/>
  <c r="E76" i="2"/>
  <c r="E69" i="4"/>
  <c r="E71" i="4"/>
  <c r="C62" i="4"/>
  <c r="D62" i="4"/>
  <c r="E58" i="4"/>
  <c r="C72" i="4"/>
  <c r="D72" i="4"/>
  <c r="E67" i="4"/>
  <c r="E66" i="4"/>
  <c r="E60" i="4"/>
  <c r="E48" i="3"/>
  <c r="D50" i="3"/>
  <c r="C50" i="3"/>
  <c r="E45" i="3"/>
  <c r="D41" i="3"/>
  <c r="C41" i="3"/>
  <c r="E39" i="3"/>
  <c r="E41" i="3" s="1"/>
  <c r="G41" i="3" s="1"/>
  <c r="C30" i="3"/>
  <c r="D30" i="3"/>
  <c r="D33" i="4"/>
  <c r="C33" i="4"/>
  <c r="D26" i="3"/>
  <c r="C26" i="3"/>
  <c r="E26" i="3" s="1"/>
  <c r="G26" i="3" s="1"/>
  <c r="D50" i="2"/>
  <c r="C50" i="2"/>
  <c r="D69" i="2"/>
  <c r="C69" i="2"/>
  <c r="E91" i="2" l="1"/>
  <c r="G91" i="2" s="1"/>
  <c r="E62" i="4"/>
  <c r="G62" i="4" s="1"/>
  <c r="E81" i="2"/>
  <c r="G81" i="2" s="1"/>
  <c r="E72" i="4"/>
  <c r="G72" i="4" s="1"/>
  <c r="E30" i="3"/>
  <c r="G30" i="3" s="1"/>
  <c r="E50" i="3"/>
  <c r="G50" i="3" s="1"/>
  <c r="E33" i="4"/>
  <c r="G33" i="4" s="1"/>
  <c r="E50" i="2"/>
  <c r="G50" i="2" s="1"/>
  <c r="E69" i="2"/>
  <c r="G69" i="2" s="1"/>
  <c r="C65" i="2"/>
  <c r="E63" i="2"/>
  <c r="B65" i="2"/>
  <c r="E64" i="2" l="1"/>
  <c r="E62" i="2"/>
  <c r="B58" i="2"/>
  <c r="D57" i="2"/>
  <c r="C57" i="2"/>
  <c r="D56" i="2"/>
  <c r="C56" i="2"/>
  <c r="D55" i="2"/>
  <c r="C55" i="2"/>
  <c r="D54" i="2"/>
  <c r="C54" i="2"/>
  <c r="D49" i="4"/>
  <c r="C49" i="4"/>
  <c r="B45" i="4"/>
  <c r="D43" i="4"/>
  <c r="C43" i="4"/>
  <c r="D44" i="4"/>
  <c r="C44" i="4"/>
  <c r="D39" i="4"/>
  <c r="C39" i="4"/>
  <c r="B46" i="2"/>
  <c r="D45" i="2"/>
  <c r="C45" i="2"/>
  <c r="C44" i="2"/>
  <c r="D44" i="2"/>
  <c r="C43" i="2"/>
  <c r="D43" i="2"/>
  <c r="E49" i="4" l="1"/>
  <c r="G49" i="4" s="1"/>
  <c r="E54" i="2"/>
  <c r="E65" i="2"/>
  <c r="G65" i="2" s="1"/>
  <c r="E57" i="2"/>
  <c r="C58" i="2"/>
  <c r="D58" i="2"/>
  <c r="E56" i="2"/>
  <c r="E55" i="2"/>
  <c r="E39" i="4"/>
  <c r="G39" i="4" s="1"/>
  <c r="E44" i="4"/>
  <c r="C45" i="4"/>
  <c r="D45" i="4"/>
  <c r="E43" i="4"/>
  <c r="E44" i="2"/>
  <c r="E45" i="2"/>
  <c r="D46" i="2"/>
  <c r="C46" i="2"/>
  <c r="E43" i="2"/>
  <c r="B21" i="4"/>
  <c r="G58" i="2" l="1"/>
  <c r="E45" i="4"/>
  <c r="G45" i="4" s="1"/>
  <c r="E46" i="2"/>
  <c r="G46" i="2" s="1"/>
  <c r="D15" i="4"/>
  <c r="C15" i="4"/>
  <c r="E15" i="4" l="1"/>
  <c r="G15" i="4" s="1"/>
  <c r="D21" i="3"/>
  <c r="C21" i="3"/>
  <c r="E21" i="3" s="1"/>
  <c r="D20" i="3"/>
  <c r="C20" i="3"/>
  <c r="E20" i="3" l="1"/>
  <c r="E22" i="3" s="1"/>
  <c r="G22" i="3" s="1"/>
  <c r="D22" i="3"/>
  <c r="C22" i="3"/>
  <c r="D38" i="2"/>
  <c r="B39" i="2" l="1"/>
  <c r="B11" i="4"/>
  <c r="D25" i="4"/>
  <c r="C25" i="4"/>
  <c r="D20" i="4"/>
  <c r="C20" i="4"/>
  <c r="D19" i="4"/>
  <c r="D21" i="4" s="1"/>
  <c r="C19" i="4"/>
  <c r="D29" i="4"/>
  <c r="C29" i="4"/>
  <c r="D10" i="4"/>
  <c r="C10" i="4"/>
  <c r="D9" i="4"/>
  <c r="C9" i="4"/>
  <c r="E9" i="4" s="1"/>
  <c r="B5" i="4"/>
  <c r="D4" i="4"/>
  <c r="C4" i="4"/>
  <c r="E4" i="4" s="1"/>
  <c r="D3" i="4"/>
  <c r="C3" i="4"/>
  <c r="C21" i="4" l="1"/>
  <c r="E21" i="4" s="1"/>
  <c r="G21" i="4" s="1"/>
  <c r="E10" i="4"/>
  <c r="D11" i="4"/>
  <c r="E25" i="4"/>
  <c r="G25" i="4" s="1"/>
  <c r="C5" i="4"/>
  <c r="E19" i="4"/>
  <c r="E3" i="4"/>
  <c r="E29" i="4"/>
  <c r="G29" i="4" s="1"/>
  <c r="E20" i="4"/>
  <c r="D5" i="4"/>
  <c r="C11" i="4"/>
  <c r="E11" i="4" s="1"/>
  <c r="G11" i="4" s="1"/>
  <c r="C32" i="1"/>
  <c r="E32" i="1"/>
  <c r="E3" i="3"/>
  <c r="G32" i="1" s="1"/>
  <c r="D15" i="3"/>
  <c r="C15" i="3"/>
  <c r="D14" i="3"/>
  <c r="C14" i="3"/>
  <c r="B10" i="3"/>
  <c r="D9" i="3"/>
  <c r="C9" i="3"/>
  <c r="B16" i="3"/>
  <c r="D8" i="3"/>
  <c r="C8" i="3"/>
  <c r="E7" i="3"/>
  <c r="D18" i="2"/>
  <c r="D19" i="2" s="1"/>
  <c r="C18" i="2"/>
  <c r="C19" i="2" s="1"/>
  <c r="C25" i="1"/>
  <c r="D37" i="2"/>
  <c r="C37" i="2"/>
  <c r="C38" i="2"/>
  <c r="E38" i="2" s="1"/>
  <c r="C36" i="2"/>
  <c r="E32" i="2"/>
  <c r="G32" i="2" s="1"/>
  <c r="E26" i="2"/>
  <c r="G26" i="2" s="1"/>
  <c r="B19" i="2"/>
  <c r="E88" i="4" l="1"/>
  <c r="E14" i="3"/>
  <c r="E25" i="1"/>
  <c r="D39" i="2"/>
  <c r="E36" i="2"/>
  <c r="C39" i="2"/>
  <c r="E37" i="2"/>
  <c r="E5" i="4"/>
  <c r="G5" i="4" s="1"/>
  <c r="C10" i="3"/>
  <c r="C16" i="3"/>
  <c r="D10" i="3"/>
  <c r="E9" i="3"/>
  <c r="E15" i="3"/>
  <c r="D16" i="3"/>
  <c r="E8" i="3"/>
  <c r="E18" i="2"/>
  <c r="E19" i="2" s="1"/>
  <c r="G19" i="2" s="1"/>
  <c r="E24" i="1"/>
  <c r="G24" i="1" s="1"/>
  <c r="C21" i="1"/>
  <c r="E19" i="1"/>
  <c r="G19" i="1" s="1"/>
  <c r="E18" i="1"/>
  <c r="G18" i="1" s="1"/>
  <c r="C7" i="1"/>
  <c r="C33" i="1" l="1"/>
  <c r="C35" i="1" s="1"/>
  <c r="E33" i="1"/>
  <c r="E35" i="1" s="1"/>
  <c r="E16" i="3"/>
  <c r="G16" i="3" s="1"/>
  <c r="G25" i="1"/>
  <c r="E39" i="2"/>
  <c r="E23" i="1"/>
  <c r="G21" i="1"/>
  <c r="E21" i="1"/>
  <c r="E10" i="3"/>
  <c r="G10" i="3" s="1"/>
  <c r="G39" i="2" l="1"/>
  <c r="G147" i="2" s="1"/>
  <c r="G33" i="1"/>
  <c r="G35" i="1" s="1"/>
  <c r="E58" i="3"/>
  <c r="G6" i="1"/>
  <c r="G4" i="1"/>
  <c r="G7" i="1" l="1"/>
  <c r="G23" i="1"/>
  <c r="C23" i="1"/>
</calcChain>
</file>

<file path=xl/sharedStrings.xml><?xml version="1.0" encoding="utf-8"?>
<sst xmlns="http://schemas.openxmlformats.org/spreadsheetml/2006/main" count="772" uniqueCount="211">
  <si>
    <t>Wireless</t>
  </si>
  <si>
    <t>Item</t>
  </si>
  <si>
    <t>Bloodgood House</t>
  </si>
  <si>
    <t>Bradley Foundation</t>
  </si>
  <si>
    <t>Total</t>
  </si>
  <si>
    <t>Installation</t>
  </si>
  <si>
    <t>Survey</t>
  </si>
  <si>
    <t>Internet bandwidth access</t>
  </si>
  <si>
    <t>Additional T-1 line</t>
  </si>
  <si>
    <t>Demarc extension (pending)</t>
  </si>
  <si>
    <t>Equipment</t>
  </si>
  <si>
    <t>Security</t>
  </si>
  <si>
    <t>(pending)</t>
  </si>
  <si>
    <t>Lease</t>
  </si>
  <si>
    <t>Furniture move</t>
  </si>
  <si>
    <t>Parking lot renovation</t>
  </si>
  <si>
    <t>System upgrade - estimate</t>
  </si>
  <si>
    <t>Card access upgrade - estimate</t>
  </si>
  <si>
    <t>Notes</t>
  </si>
  <si>
    <t>connections; patching and painting.</t>
  </si>
  <si>
    <t>Not included (work to be done by others):</t>
  </si>
  <si>
    <t>Fire alarm, network, electrical, elevator</t>
  </si>
  <si>
    <t>Installation charges - TDS</t>
  </si>
  <si>
    <t>Cameras and beams - postpone</t>
  </si>
  <si>
    <t>Invoice</t>
  </si>
  <si>
    <t>Foundation</t>
  </si>
  <si>
    <t>Bloodgood</t>
  </si>
  <si>
    <t>Gateway</t>
  </si>
  <si>
    <t>Voice/fax module</t>
  </si>
  <si>
    <t>Phone 7945G</t>
  </si>
  <si>
    <t>Phone 7911G</t>
  </si>
  <si>
    <t xml:space="preserve"> - </t>
  </si>
  <si>
    <t>Phone 525G2</t>
  </si>
  <si>
    <t>Phone 7937G</t>
  </si>
  <si>
    <t>Microphone</t>
  </si>
  <si>
    <t>Phone 7965G</t>
  </si>
  <si>
    <t>Expansion module</t>
  </si>
  <si>
    <t>Stand kit</t>
  </si>
  <si>
    <t>Power cable</t>
  </si>
  <si>
    <t>Power adapter</t>
  </si>
  <si>
    <t>Paging interface</t>
  </si>
  <si>
    <t>Delivery/handling</t>
  </si>
  <si>
    <t>Quote</t>
  </si>
  <si>
    <t>Paid</t>
  </si>
  <si>
    <t>Cisco IP phone system</t>
  </si>
  <si>
    <t>Tushaus Invoice No. T0003886 dated 2/29/2012 - $2,902.00</t>
  </si>
  <si>
    <t>Tushaus Invoice No. T0003893 dated 2/29/2012 - $1,594.00</t>
  </si>
  <si>
    <t>Service agreement</t>
  </si>
  <si>
    <t>Add 8 licenses</t>
  </si>
  <si>
    <t>CallConnector server</t>
  </si>
  <si>
    <t>CallConnector licenses</t>
  </si>
  <si>
    <t>TOTAL</t>
  </si>
  <si>
    <t>Tushaus Invoice No. T0003858 dated 2/28/2012 - $9,435.44</t>
  </si>
  <si>
    <t>Access points</t>
  </si>
  <si>
    <t>Cisco controller</t>
  </si>
  <si>
    <t>Tushaus Invoice No. T0003885 dated 2/29/2012 - $1,116.00</t>
  </si>
  <si>
    <t>Switch service agmt</t>
  </si>
  <si>
    <t>Access service agmt</t>
  </si>
  <si>
    <t>Site survey</t>
  </si>
  <si>
    <t>Tushaus Invoice No. D25163 dated 2/20/2012 - $906.25</t>
  </si>
  <si>
    <t>Cameras/beams - later with fencing project</t>
  </si>
  <si>
    <t>To be capitalized and depreciated over 3 years starting 4/1/12.</t>
  </si>
  <si>
    <t>Tushaus Invoice No. T0003878 dated 2/29/2012 - $402.50</t>
  </si>
  <si>
    <t>Patch cables (25)</t>
  </si>
  <si>
    <t>VMware license</t>
  </si>
  <si>
    <t>VMware support</t>
  </si>
  <si>
    <t>Dell rack</t>
  </si>
  <si>
    <t>Dell servers (2)</t>
  </si>
  <si>
    <t>Switch/cable (2)</t>
  </si>
  <si>
    <t>Stacking module (2)</t>
  </si>
  <si>
    <t>Dell SAN</t>
  </si>
  <si>
    <t>Virtualization</t>
  </si>
  <si>
    <t>Tushaus Invoice No. T0003905 dated 3/1/2012 - $5,470.00</t>
  </si>
  <si>
    <t>Tushaus Invoice No. T0003907 dated 3/1/2012 - $6,092.48</t>
  </si>
  <si>
    <t>Survey writeup</t>
  </si>
  <si>
    <t>Planning</t>
  </si>
  <si>
    <t>Tushaus Invoice No. T0003944 dated 3/12/2012 - $1,354.51</t>
  </si>
  <si>
    <t>Installation - Tushaus (estimate)</t>
  </si>
  <si>
    <t>Tushaus Invoice No. T0004068 dated 3/14/2012 - $18,099.25</t>
  </si>
  <si>
    <t>Tushaus Invoice No. T0004072 dated 3/14/2012 - $15,443.98</t>
  </si>
  <si>
    <t>Tushaus Invoice No. T0004011 dated 3/13/2012 - $4,379.60</t>
  </si>
  <si>
    <t>Tushaus Invoice No. T0003862 dated 2/28/2012 - $25,280.65</t>
  </si>
  <si>
    <t>Tushaus Invoice No. T0004132 dated 3/16/2012 - $866.33</t>
  </si>
  <si>
    <t>Cisco 1-port router</t>
  </si>
  <si>
    <t>HP tape drive mount</t>
  </si>
  <si>
    <t>Tushaus Invoice No. T0004210 dated 3/21/2012 - $322.50</t>
  </si>
  <si>
    <t>Ethernet cables</t>
  </si>
  <si>
    <t>Tushaus Invoice No. T0004242 dated 3/22/2012 - $1,170.18</t>
  </si>
  <si>
    <t>Dell UPS rack tower</t>
  </si>
  <si>
    <t>Tushaus Invoice No. T0004273 dated 3/23/2012 - $265.23</t>
  </si>
  <si>
    <t>Network card</t>
  </si>
  <si>
    <t>Tushaus Invoice No. T0004316 dated 3/27/2012 - $4,313.32</t>
  </si>
  <si>
    <t>Power adapter (3)</t>
  </si>
  <si>
    <t>Rack mount kit</t>
  </si>
  <si>
    <t>Tushaus Invoice No. T0004336 dated 3/28/2012 - $285.00</t>
  </si>
  <si>
    <t>Network cable</t>
  </si>
  <si>
    <t>Patch cable</t>
  </si>
  <si>
    <t>Add licenses (2)</t>
  </si>
  <si>
    <t>Tushaus Invoice No. D25401 dated 3/6/2012 - $688.75</t>
  </si>
  <si>
    <t>Installation (est.)*</t>
  </si>
  <si>
    <t>Installation(est.)</t>
  </si>
  <si>
    <t>2960S switch/24</t>
  </si>
  <si>
    <r>
      <t>Delivery/handling</t>
    </r>
    <r>
      <rPr>
        <vertAlign val="superscript"/>
        <sz val="11"/>
        <color theme="1"/>
        <rFont val="Calibri"/>
        <family val="2"/>
        <scheme val="minor"/>
      </rPr>
      <t xml:space="preserve"> (NOTE)</t>
    </r>
  </si>
  <si>
    <t>NOTE:  Delivery quoted at $93.00, but billed at $94.00.</t>
  </si>
  <si>
    <t>Tushaus Invoice No. T0004353 dated 3/29/2012 - $2,902.00</t>
  </si>
  <si>
    <t>Smartnet service agmt</t>
  </si>
  <si>
    <t>Tushaus Invoice No. D25847 dated 3/20/2012 - $738.75</t>
  </si>
  <si>
    <t>Planning and labor</t>
  </si>
  <si>
    <t>Tushaus Invoice No. D25847 dated 3/20/2012 - $870.00</t>
  </si>
  <si>
    <r>
      <t xml:space="preserve">Tushaus installation ESTIMATE (for wireless </t>
    </r>
    <r>
      <rPr>
        <u/>
        <sz val="11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phones)</t>
    </r>
  </si>
  <si>
    <t>Tushaus Invoice No. D25921 dated 3/30/2012 - $1,568.75</t>
  </si>
  <si>
    <t>Implementation</t>
  </si>
  <si>
    <t>Travel time</t>
  </si>
  <si>
    <t>Project management</t>
  </si>
  <si>
    <t>Tushaus Invoice No. T0004353 dated 3/29/2012 - $2,322.72</t>
  </si>
  <si>
    <t>Tushaus Invoice No. D25994 dated 4/2/2012 - $3,300.00</t>
  </si>
  <si>
    <t>Tushaus Invoice No. D26112 dated 4/4/2012 - $123.75</t>
  </si>
  <si>
    <t>Tushaus installation ESTIMATE</t>
  </si>
  <si>
    <t>Tushaus Invoice No. D25921 dated 3/30/2012 - $4,785.00</t>
  </si>
  <si>
    <t>Rack/install SAN 3/12</t>
  </si>
  <si>
    <t>Rack/install SAN 3/13</t>
  </si>
  <si>
    <t>Rack/install SAN 3/14</t>
  </si>
  <si>
    <t>Rack/install SAN 3/16</t>
  </si>
  <si>
    <t>Tushaus Invoice No.D25994 dated 4/2/2012 - $6,525.00</t>
  </si>
  <si>
    <t>Install VMWare Host</t>
  </si>
  <si>
    <t>P2V-physical servers 3/20</t>
  </si>
  <si>
    <t>P2V-physical servers 3/21</t>
  </si>
  <si>
    <t>P2V-physical servers 3/22</t>
  </si>
  <si>
    <t>P2V-physical servers 3/23</t>
  </si>
  <si>
    <t>Implementation 3/21</t>
  </si>
  <si>
    <t>Project management 3/22</t>
  </si>
  <si>
    <t>Implementation 3/22</t>
  </si>
  <si>
    <t>Project management 3/23</t>
  </si>
  <si>
    <t>Implementation 3/23</t>
  </si>
  <si>
    <t>Tushaus Invoice No. D25994 dated 4/2/2012 - $2,725.00</t>
  </si>
  <si>
    <t>Implementation 3/19</t>
  </si>
  <si>
    <t>Implementation 3/20</t>
  </si>
  <si>
    <t>CallConnector Op License</t>
  </si>
  <si>
    <t>Service agreement 3-yr</t>
  </si>
  <si>
    <t>Shipping</t>
  </si>
  <si>
    <t>Dell PE R610 server</t>
  </si>
  <si>
    <t>Tushaus Invoice No. T0004476 dated 4/6/2012 - $162.00</t>
  </si>
  <si>
    <t>Tushaus Invoice No. T0004574 dated April 13, 2010 - $757.00</t>
  </si>
  <si>
    <t>Toepfer Invoice No. 61033 dated 4/10/2012 - $38,680.00</t>
  </si>
  <si>
    <t>Access System - LH, HH</t>
  </si>
  <si>
    <t>Site server CCURE 9000</t>
  </si>
  <si>
    <t>Clinton 15" FP monitor</t>
  </si>
  <si>
    <t>Server rack mount kit</t>
  </si>
  <si>
    <t>Controller/memory card</t>
  </si>
  <si>
    <t>HID multiprox readers (2)</t>
  </si>
  <si>
    <t>HID multiprox controller</t>
  </si>
  <si>
    <t>AlarmSaf power supplies (2)</t>
  </si>
  <si>
    <t>8 relay output board</t>
  </si>
  <si>
    <t>Labor, 1 year warranty</t>
  </si>
  <si>
    <t>Access control cable</t>
  </si>
  <si>
    <t>Output board enclosure</t>
  </si>
  <si>
    <t>Access System - Bloodgood</t>
  </si>
  <si>
    <t>Proximity card readers (6)</t>
  </si>
  <si>
    <t>Proximity card reader (1)</t>
  </si>
  <si>
    <t>Mortise lockset/hinge</t>
  </si>
  <si>
    <t>-</t>
  </si>
  <si>
    <t>Alarm System - LH/HH</t>
  </si>
  <si>
    <t>Bosch control panel</t>
  </si>
  <si>
    <t>Touch screen keypads (5)</t>
  </si>
  <si>
    <t>Zone expansion boards (7)</t>
  </si>
  <si>
    <t>Wireless expansion receiver</t>
  </si>
  <si>
    <t>Alarm System - Bloodgood</t>
  </si>
  <si>
    <t>Bosch wireless signal</t>
  </si>
  <si>
    <t>Touch screen keypad</t>
  </si>
  <si>
    <t>Zone expansion board</t>
  </si>
  <si>
    <t>Bosch motion detectors (3)</t>
  </si>
  <si>
    <t>Plenum cable, connectors</t>
  </si>
  <si>
    <t>KeyFob ProxKey II (25)</t>
  </si>
  <si>
    <t>Prox II Access Cards (15)</t>
  </si>
  <si>
    <t>Tushaus Invoice No. T0004640 dated 4/18/2012 - $57.00</t>
  </si>
  <si>
    <t>Wall mount brackets (2)</t>
  </si>
  <si>
    <t>Coiled handset cords (20)</t>
  </si>
  <si>
    <t>Tushaus Invoice No. D26302 dated 4/19/2012 - $11,207.00</t>
  </si>
  <si>
    <t>Tushaus Invoice No. D26302 dated 4/19/12 - $2,211.25</t>
  </si>
  <si>
    <t>P2V Physical Machines</t>
  </si>
  <si>
    <t>Add T-1 line</t>
  </si>
  <si>
    <t>Upgrade to 4.5 access</t>
  </si>
  <si>
    <t>Tushaus Invoice No. T0004686 dated 4/23/2012 - $99.00</t>
  </si>
  <si>
    <t>2960S switch/48</t>
  </si>
  <si>
    <t>Tushaus Invoice No. CT0004738 dated 4/26/2012 - CREDIT $2,902.00</t>
  </si>
  <si>
    <t>Tushaus Invoice No. CT0004739 dated 4/26/2012 - CREDIT $4,218.63</t>
  </si>
  <si>
    <r>
      <t xml:space="preserve">2960S switch/48 </t>
    </r>
    <r>
      <rPr>
        <vertAlign val="superscript"/>
        <sz val="11"/>
        <color theme="1"/>
        <rFont val="Calibri"/>
        <family val="2"/>
        <scheme val="minor"/>
      </rPr>
      <t>(RETURNED)</t>
    </r>
  </si>
  <si>
    <r>
      <t xml:space="preserve">Service agmt </t>
    </r>
    <r>
      <rPr>
        <vertAlign val="superscript"/>
        <sz val="11"/>
        <color theme="1"/>
        <rFont val="Calibri"/>
        <family val="2"/>
        <scheme val="minor"/>
      </rPr>
      <t>(RETURNED)</t>
    </r>
  </si>
  <si>
    <t>RETURN:  The 2960S switch/48 was returned after the invoice was paid.</t>
  </si>
  <si>
    <t xml:space="preserve">                    A credit in the amount of $4,218.63 is on Invoice No. CT0004739 dated 4/26/2012.</t>
  </si>
  <si>
    <t>RETURN:  This SmartNet extended service agreement was returned after the invoice was paid.</t>
  </si>
  <si>
    <t xml:space="preserve">                    A credit in the amount of $2,902.00 is on Invoice No. CT0004738 dated 4/26/2012.</t>
  </si>
  <si>
    <t>RETURN:  The SmartNet extended service agreement was returned.</t>
  </si>
  <si>
    <t xml:space="preserve">                    This item was billed on Invoice No. T0003886 dated 2/29/2012.</t>
  </si>
  <si>
    <t>RETURN:  The 2960S switch/48 was returned.</t>
  </si>
  <si>
    <t xml:space="preserve">                    This item was billed on Invoice No. T0003862 dated 2/28/2012.</t>
  </si>
  <si>
    <t>Tushaus Invoice No. D26569 dated 5/2/2012 - $608.75</t>
  </si>
  <si>
    <t>Tushaus Invoice No. T0004776 dated 4/30/2012 - $15.95</t>
  </si>
  <si>
    <t>Tushaus Invoice No. T0004783 dated 4/30/2012 - $208.05</t>
  </si>
  <si>
    <t>RETURN:  6 foot cords returned; credit memo pending</t>
  </si>
  <si>
    <t>12 ft handset cord (1)</t>
  </si>
  <si>
    <t>12 ft handset cord (19)</t>
  </si>
  <si>
    <t>Tushaus Invoice No. T0004992 dated 5/16/2012 - $5,810.76</t>
  </si>
  <si>
    <t>x2</t>
  </si>
  <si>
    <t>equals</t>
  </si>
  <si>
    <t>accounting:</t>
  </si>
  <si>
    <t>general:</t>
  </si>
  <si>
    <t>accounting</t>
  </si>
  <si>
    <t>system determines amount of decimals</t>
  </si>
  <si>
    <t>plus</t>
  </si>
  <si>
    <t>column C plus column E = 6,092.48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</si>
</sst>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u val="doubleAccounting"/>
      <sz val="11"/>
      <color rgb="FF00B050"/>
      <name val="Calibri"/>
      <family val="2"/>
      <scheme val="minor"/>
    </font>
    <font>
      <u val="double"/>
      <sz val="11"/>
      <color rgb="FFFF0000"/>
      <name val="Calibri"/>
      <family val="2"/>
      <scheme val="minor"/>
    </font>
    <font>
      <u val="double"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0" xfId="0" applyFont="1" applyBorder="1"/>
    <xf numFmtId="0" fontId="0" fillId="0" borderId="0" xfId="0" applyFont="1" applyFill="1" applyBorder="1"/>
    <xf numFmtId="2" fontId="0" fillId="0" borderId="1" xfId="0" applyNumberForma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2" fontId="0" fillId="0" borderId="0" xfId="0" applyNumberFormat="1" applyBorder="1"/>
    <xf numFmtId="0" fontId="0" fillId="0" borderId="0" xfId="0" applyBorder="1"/>
    <xf numFmtId="0" fontId="0" fillId="0" borderId="0" xfId="0" applyAlignment="1">
      <alignment horizontal="right"/>
    </xf>
    <xf numFmtId="43" fontId="0" fillId="0" borderId="0" xfId="1" applyFont="1"/>
    <xf numFmtId="43" fontId="0" fillId="0" borderId="1" xfId="1" applyFont="1" applyBorder="1"/>
    <xf numFmtId="43" fontId="0" fillId="0" borderId="5" xfId="1" applyFont="1" applyBorder="1"/>
    <xf numFmtId="0" fontId="1" fillId="0" borderId="0" xfId="0" applyFont="1" applyAlignment="1">
      <alignment horizontal="right" wrapText="1"/>
    </xf>
    <xf numFmtId="43" fontId="0" fillId="0" borderId="0" xfId="0" applyNumberFormat="1"/>
    <xf numFmtId="43" fontId="0" fillId="0" borderId="0" xfId="1" applyFont="1" applyAlignment="1">
      <alignment horizontal="center"/>
    </xf>
    <xf numFmtId="43" fontId="0" fillId="0" borderId="6" xfId="1" applyFont="1" applyBorder="1"/>
    <xf numFmtId="43" fontId="0" fillId="0" borderId="6" xfId="0" applyNumberFormat="1" applyBorder="1"/>
    <xf numFmtId="43" fontId="0" fillId="0" borderId="1" xfId="0" applyNumberFormat="1" applyBorder="1"/>
    <xf numFmtId="43" fontId="0" fillId="0" borderId="0" xfId="1" applyFont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43" fontId="0" fillId="0" borderId="0" xfId="0" applyNumberFormat="1" applyBorder="1"/>
    <xf numFmtId="0" fontId="0" fillId="0" borderId="0" xfId="0" applyFill="1" applyBorder="1"/>
    <xf numFmtId="43" fontId="0" fillId="0" borderId="5" xfId="0" applyNumberFormat="1" applyBorder="1"/>
    <xf numFmtId="0" fontId="1" fillId="0" borderId="7" xfId="0" applyFont="1" applyBorder="1"/>
    <xf numFmtId="0" fontId="1" fillId="0" borderId="7" xfId="0" applyFont="1" applyFill="1" applyBorder="1"/>
    <xf numFmtId="0" fontId="0" fillId="0" borderId="0" xfId="0" applyFont="1"/>
    <xf numFmtId="2" fontId="0" fillId="0" borderId="0" xfId="0" applyNumberFormat="1" applyFont="1"/>
    <xf numFmtId="14" fontId="0" fillId="0" borderId="0" xfId="0" applyNumberFormat="1" applyFont="1"/>
    <xf numFmtId="43" fontId="0" fillId="0" borderId="0" xfId="1" applyFont="1" applyAlignment="1">
      <alignment horizontal="right"/>
    </xf>
    <xf numFmtId="43" fontId="0" fillId="0" borderId="0" xfId="1" applyFont="1" applyAlignment="1">
      <alignment horizontal="right" wrapText="1"/>
    </xf>
    <xf numFmtId="43" fontId="0" fillId="0" borderId="8" xfId="1" applyFont="1" applyBorder="1"/>
    <xf numFmtId="0" fontId="0" fillId="0" borderId="0" xfId="0" applyFont="1" applyAlignment="1">
      <alignment horizontal="right"/>
    </xf>
    <xf numFmtId="43" fontId="0" fillId="0" borderId="0" xfId="1" applyNumberFormat="1" applyFont="1" applyAlignment="1">
      <alignment horizontal="right" wrapText="1"/>
    </xf>
    <xf numFmtId="43" fontId="0" fillId="0" borderId="1" xfId="1" applyFont="1" applyBorder="1" applyAlignment="1">
      <alignment horizontal="right"/>
    </xf>
    <xf numFmtId="43" fontId="0" fillId="0" borderId="1" xfId="1" applyFont="1" applyBorder="1" applyAlignment="1">
      <alignment horizontal="right" wrapText="1"/>
    </xf>
    <xf numFmtId="0" fontId="3" fillId="0" borderId="0" xfId="0" applyFont="1"/>
    <xf numFmtId="0" fontId="0" fillId="0" borderId="0" xfId="0" applyFont="1" applyAlignment="1">
      <alignment horizontal="right" wrapText="1"/>
    </xf>
    <xf numFmtId="43" fontId="0" fillId="0" borderId="5" xfId="1" applyFont="1" applyBorder="1" applyAlignment="1">
      <alignment horizontal="right" wrapText="1"/>
    </xf>
    <xf numFmtId="43" fontId="0" fillId="0" borderId="6" xfId="1" applyFont="1" applyBorder="1" applyAlignment="1">
      <alignment horizontal="right" wrapText="1"/>
    </xf>
    <xf numFmtId="43" fontId="0" fillId="0" borderId="5" xfId="1" applyFont="1" applyBorder="1" applyAlignment="1">
      <alignment horizontal="center"/>
    </xf>
    <xf numFmtId="43" fontId="0" fillId="0" borderId="0" xfId="1" applyNumberFormat="1" applyFont="1"/>
    <xf numFmtId="43" fontId="0" fillId="0" borderId="0" xfId="0" applyNumberFormat="1" applyAlignment="1">
      <alignment horizontal="right"/>
    </xf>
    <xf numFmtId="0" fontId="0" fillId="3" borderId="0" xfId="0" applyFill="1"/>
    <xf numFmtId="43" fontId="0" fillId="3" borderId="1" xfId="1" applyFont="1" applyFill="1" applyBorder="1"/>
    <xf numFmtId="0" fontId="0" fillId="0" borderId="0" xfId="0" applyFill="1"/>
    <xf numFmtId="43" fontId="0" fillId="0" borderId="0" xfId="0" applyNumberFormat="1" applyFill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43" fontId="0" fillId="0" borderId="7" xfId="0" applyNumberFormat="1" applyBorder="1"/>
    <xf numFmtId="0" fontId="0" fillId="3" borderId="7" xfId="0" applyFill="1" applyBorder="1"/>
    <xf numFmtId="0" fontId="0" fillId="4" borderId="7" xfId="0" applyFill="1" applyBorder="1"/>
    <xf numFmtId="0" fontId="5" fillId="0" borderId="7" xfId="0" applyFont="1" applyBorder="1"/>
    <xf numFmtId="0" fontId="5" fillId="0" borderId="7" xfId="0" applyFont="1" applyBorder="1" applyAlignment="1"/>
    <xf numFmtId="0" fontId="9" fillId="0" borderId="7" xfId="0" applyFont="1" applyBorder="1"/>
    <xf numFmtId="0" fontId="10" fillId="0" borderId="7" xfId="0" applyFont="1" applyBorder="1" applyAlignment="1"/>
    <xf numFmtId="0" fontId="0" fillId="3" borderId="10" xfId="0" applyFill="1" applyBorder="1"/>
    <xf numFmtId="0" fontId="0" fillId="4" borderId="10" xfId="0" applyFill="1" applyBorder="1"/>
    <xf numFmtId="0" fontId="5" fillId="0" borderId="10" xfId="0" applyFont="1" applyBorder="1" applyAlignment="1"/>
    <xf numFmtId="43" fontId="0" fillId="0" borderId="10" xfId="0" applyNumberFormat="1" applyBorder="1"/>
    <xf numFmtId="43" fontId="11" fillId="0" borderId="11" xfId="1" applyFont="1" applyFill="1" applyBorder="1"/>
    <xf numFmtId="43" fontId="11" fillId="0" borderId="12" xfId="1" applyFont="1" applyFill="1" applyBorder="1"/>
    <xf numFmtId="43" fontId="12" fillId="0" borderId="12" xfId="0" applyNumberFormat="1" applyFont="1" applyBorder="1"/>
    <xf numFmtId="43" fontId="13" fillId="0" borderId="12" xfId="0" applyNumberFormat="1" applyFont="1" applyBorder="1" applyAlignment="1">
      <alignment horizontal="right"/>
    </xf>
    <xf numFmtId="0" fontId="0" fillId="0" borderId="13" xfId="0" applyBorder="1"/>
    <xf numFmtId="0" fontId="1" fillId="0" borderId="14" xfId="0" applyFont="1" applyBorder="1" applyAlignment="1">
      <alignment horizontal="right" wrapText="1"/>
    </xf>
    <xf numFmtId="0" fontId="1" fillId="0" borderId="15" xfId="0" applyFont="1" applyBorder="1" applyAlignment="1">
      <alignment horizontal="right" wrapText="1"/>
    </xf>
    <xf numFmtId="43" fontId="7" fillId="0" borderId="17" xfId="1" applyFont="1" applyBorder="1"/>
    <xf numFmtId="43" fontId="7" fillId="0" borderId="18" xfId="1" applyFont="1" applyBorder="1"/>
    <xf numFmtId="0" fontId="1" fillId="0" borderId="19" xfId="0" applyFont="1" applyBorder="1" applyAlignment="1">
      <alignment horizontal="right"/>
    </xf>
    <xf numFmtId="43" fontId="5" fillId="0" borderId="2" xfId="1" applyFont="1" applyBorder="1"/>
    <xf numFmtId="43" fontId="8" fillId="0" borderId="20" xfId="1" applyFont="1" applyBorder="1"/>
    <xf numFmtId="0" fontId="0" fillId="0" borderId="21" xfId="0" applyBorder="1" applyAlignment="1">
      <alignment horizontal="center" vertical="center" textRotation="90"/>
    </xf>
    <xf numFmtId="0" fontId="0" fillId="0" borderId="22" xfId="0" applyBorder="1" applyAlignment="1">
      <alignment horizontal="center" vertical="center" textRotation="90"/>
    </xf>
    <xf numFmtId="43" fontId="6" fillId="0" borderId="0" xfId="1" applyFont="1"/>
    <xf numFmtId="43" fontId="14" fillId="0" borderId="7" xfId="0" applyNumberFormat="1" applyFont="1" applyBorder="1"/>
    <xf numFmtId="0" fontId="0" fillId="0" borderId="24" xfId="0" applyBorder="1" applyAlignment="1">
      <alignment horizontal="center" vertical="center" textRotation="90"/>
    </xf>
    <xf numFmtId="0" fontId="0" fillId="0" borderId="0" xfId="0" applyFill="1" applyAlignment="1">
      <alignment horizontal="center" vertical="center"/>
    </xf>
    <xf numFmtId="43" fontId="15" fillId="4" borderId="16" xfId="1" applyFont="1" applyFill="1" applyBorder="1"/>
    <xf numFmtId="43" fontId="15" fillId="3" borderId="7" xfId="1" applyFont="1" applyFill="1" applyBorder="1"/>
    <xf numFmtId="0" fontId="1" fillId="0" borderId="27" xfId="0" applyFont="1" applyBorder="1" applyAlignment="1">
      <alignment horizontal="right" wrapText="1"/>
    </xf>
    <xf numFmtId="43" fontId="7" fillId="0" borderId="28" xfId="1" applyFont="1" applyBorder="1"/>
    <xf numFmtId="43" fontId="16" fillId="4" borderId="4" xfId="1" applyFont="1" applyFill="1" applyBorder="1" applyAlignment="1">
      <alignment horizontal="center"/>
    </xf>
    <xf numFmtId="43" fontId="17" fillId="0" borderId="23" xfId="0" applyNumberFormat="1" applyFont="1" applyBorder="1" applyAlignment="1">
      <alignment horizontal="right"/>
    </xf>
    <xf numFmtId="43" fontId="17" fillId="0" borderId="4" xfId="0" applyNumberFormat="1" applyFont="1" applyBorder="1" applyAlignment="1">
      <alignment horizontal="right"/>
    </xf>
    <xf numFmtId="43" fontId="17" fillId="0" borderId="0" xfId="0" applyNumberFormat="1" applyFont="1"/>
    <xf numFmtId="49" fontId="18" fillId="0" borderId="25" xfId="0" applyNumberFormat="1" applyFont="1" applyBorder="1" applyAlignment="1">
      <alignment horizontal="right"/>
    </xf>
    <xf numFmtId="43" fontId="6" fillId="0" borderId="26" xfId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view="pageLayout" zoomScaleNormal="100" workbookViewId="0"/>
  </sheetViews>
  <sheetFormatPr defaultRowHeight="15" x14ac:dyDescent="0.25"/>
  <cols>
    <col min="1" max="1" width="28" customWidth="1"/>
    <col min="2" max="2" width="2.28515625" customWidth="1"/>
    <col min="3" max="3" width="16.5703125" customWidth="1"/>
    <col min="4" max="4" width="2.28515625" customWidth="1"/>
    <col min="5" max="5" width="19" customWidth="1"/>
    <col min="6" max="6" width="2.42578125" customWidth="1"/>
    <col min="7" max="7" width="18.42578125" customWidth="1"/>
    <col min="8" max="8" width="2.140625" customWidth="1"/>
    <col min="9" max="9" width="36.28515625" customWidth="1"/>
  </cols>
  <sheetData>
    <row r="1" spans="1:9" s="1" customFormat="1" x14ac:dyDescent="0.25">
      <c r="A1" s="1" t="s">
        <v>1</v>
      </c>
      <c r="C1" s="7" t="s">
        <v>2</v>
      </c>
      <c r="E1" s="7" t="s">
        <v>3</v>
      </c>
      <c r="G1" s="8" t="s">
        <v>4</v>
      </c>
      <c r="I1" s="1" t="s">
        <v>18</v>
      </c>
    </row>
    <row r="3" spans="1:9" x14ac:dyDescent="0.25">
      <c r="A3" s="27" t="s">
        <v>7</v>
      </c>
    </row>
    <row r="4" spans="1:9" x14ac:dyDescent="0.25">
      <c r="A4" s="4" t="s">
        <v>8</v>
      </c>
      <c r="C4" s="2">
        <v>80.5</v>
      </c>
      <c r="G4" s="2">
        <f>SUM(C4:F4)</f>
        <v>80.5</v>
      </c>
    </row>
    <row r="5" spans="1:9" x14ac:dyDescent="0.25">
      <c r="A5" s="5" t="s">
        <v>9</v>
      </c>
      <c r="C5" s="2"/>
      <c r="G5" s="2"/>
    </row>
    <row r="6" spans="1:9" x14ac:dyDescent="0.25">
      <c r="A6" s="5" t="s">
        <v>5</v>
      </c>
      <c r="C6" s="6">
        <v>300</v>
      </c>
      <c r="G6" s="6">
        <f>SUM(C6:F6)</f>
        <v>300</v>
      </c>
    </row>
    <row r="7" spans="1:9" x14ac:dyDescent="0.25">
      <c r="A7" s="5"/>
      <c r="C7" s="2">
        <f>SUM(C4:C6)</f>
        <v>380.5</v>
      </c>
      <c r="G7" s="2">
        <f>SUM(G4:G6)</f>
        <v>380.5</v>
      </c>
    </row>
    <row r="8" spans="1:9" x14ac:dyDescent="0.25">
      <c r="A8" s="28" t="s">
        <v>13</v>
      </c>
      <c r="C8" s="2"/>
      <c r="G8" s="2"/>
    </row>
    <row r="9" spans="1:9" x14ac:dyDescent="0.25">
      <c r="A9" s="5" t="s">
        <v>12</v>
      </c>
      <c r="C9" s="2"/>
      <c r="G9" s="2"/>
    </row>
    <row r="10" spans="1:9" x14ac:dyDescent="0.25">
      <c r="A10" s="5"/>
      <c r="C10" s="2"/>
      <c r="G10" s="2"/>
    </row>
    <row r="11" spans="1:9" x14ac:dyDescent="0.25">
      <c r="A11" s="28" t="s">
        <v>14</v>
      </c>
      <c r="C11" s="2"/>
      <c r="G11" s="2"/>
    </row>
    <row r="12" spans="1:9" x14ac:dyDescent="0.25">
      <c r="A12" s="5" t="s">
        <v>12</v>
      </c>
      <c r="C12" s="2"/>
      <c r="G12" s="2"/>
    </row>
    <row r="13" spans="1:9" x14ac:dyDescent="0.25">
      <c r="A13" s="5"/>
      <c r="C13" s="2"/>
      <c r="G13" s="2"/>
    </row>
    <row r="14" spans="1:9" x14ac:dyDescent="0.25">
      <c r="A14" s="28" t="s">
        <v>15</v>
      </c>
      <c r="C14" s="2"/>
      <c r="G14" s="2"/>
    </row>
    <row r="15" spans="1:9" x14ac:dyDescent="0.25">
      <c r="A15" s="5" t="s">
        <v>12</v>
      </c>
      <c r="C15" s="2"/>
      <c r="G15" s="2"/>
    </row>
    <row r="16" spans="1:9" x14ac:dyDescent="0.25">
      <c r="A16" s="5"/>
      <c r="C16" s="2"/>
      <c r="G16" s="2"/>
    </row>
    <row r="17" spans="1:9" x14ac:dyDescent="0.25">
      <c r="A17" s="28" t="s">
        <v>11</v>
      </c>
      <c r="C17" s="2"/>
      <c r="G17" s="2"/>
      <c r="I17" t="s">
        <v>20</v>
      </c>
    </row>
    <row r="18" spans="1:9" x14ac:dyDescent="0.25">
      <c r="A18" s="5" t="s">
        <v>16</v>
      </c>
      <c r="C18" s="2">
        <v>2908.34</v>
      </c>
      <c r="E18">
        <f>2908.33*2</f>
        <v>5816.66</v>
      </c>
      <c r="G18" s="2">
        <f>SUM(C18:F18)</f>
        <v>8725</v>
      </c>
      <c r="I18" t="s">
        <v>21</v>
      </c>
    </row>
    <row r="19" spans="1:9" x14ac:dyDescent="0.25">
      <c r="A19" s="5" t="s">
        <v>17</v>
      </c>
      <c r="C19" s="9">
        <v>8848.34</v>
      </c>
      <c r="D19" s="10"/>
      <c r="E19" s="10">
        <f>8848.33*2</f>
        <v>17696.66</v>
      </c>
      <c r="F19" s="10"/>
      <c r="G19" s="9">
        <f>SUM(C19:F19)</f>
        <v>26545</v>
      </c>
      <c r="I19" s="3" t="s">
        <v>19</v>
      </c>
    </row>
    <row r="20" spans="1:9" x14ac:dyDescent="0.25">
      <c r="A20" s="5" t="s">
        <v>23</v>
      </c>
      <c r="C20" s="6"/>
      <c r="D20" s="10"/>
      <c r="E20" s="3"/>
      <c r="F20" s="10"/>
      <c r="G20" s="6"/>
      <c r="I20" t="s">
        <v>60</v>
      </c>
    </row>
    <row r="21" spans="1:9" x14ac:dyDescent="0.25">
      <c r="A21" s="5"/>
      <c r="C21" s="2">
        <f>SUM(C18:C19)</f>
        <v>11756.68</v>
      </c>
      <c r="E21">
        <f>SUM(E18:E19)</f>
        <v>23513.32</v>
      </c>
      <c r="G21" s="2">
        <f>SUM(G18:G19)</f>
        <v>35270</v>
      </c>
    </row>
    <row r="22" spans="1:9" x14ac:dyDescent="0.25">
      <c r="A22" s="28" t="s">
        <v>44</v>
      </c>
      <c r="C22" s="2"/>
      <c r="G22" s="2"/>
    </row>
    <row r="23" spans="1:9" x14ac:dyDescent="0.25">
      <c r="A23" s="5" t="s">
        <v>10</v>
      </c>
      <c r="C23" s="12">
        <f>'Cisco IP phone system'!$D$150</f>
        <v>14145.213333333335</v>
      </c>
      <c r="E23" s="16">
        <f>'Cisco IP phone system'!$C$150</f>
        <v>37116.356666666667</v>
      </c>
      <c r="G23" s="12">
        <f>'Cisco IP phone system'!$G$147</f>
        <v>51267.903333333343</v>
      </c>
    </row>
    <row r="24" spans="1:9" x14ac:dyDescent="0.25">
      <c r="A24" s="5" t="s">
        <v>22</v>
      </c>
      <c r="C24" s="12">
        <v>133.34</v>
      </c>
      <c r="E24" s="12">
        <f>133.33*2</f>
        <v>266.66000000000003</v>
      </c>
      <c r="G24" s="12">
        <f>SUM(C24:F24)</f>
        <v>400</v>
      </c>
    </row>
    <row r="25" spans="1:9" x14ac:dyDescent="0.25">
      <c r="A25" s="5" t="s">
        <v>77</v>
      </c>
      <c r="C25" s="12">
        <f>'Cisco IP phone system'!$D$72</f>
        <v>0</v>
      </c>
      <c r="E25" s="12">
        <f>'Cisco IP phone system'!$C$72</f>
        <v>0</v>
      </c>
      <c r="G25" s="12">
        <f>'Cisco IP phone system'!$E$72</f>
        <v>0</v>
      </c>
    </row>
    <row r="26" spans="1:9" x14ac:dyDescent="0.25">
      <c r="A26" s="5"/>
      <c r="C26" s="2"/>
      <c r="G26" s="2"/>
    </row>
    <row r="27" spans="1:9" x14ac:dyDescent="0.25">
      <c r="A27" s="28" t="s">
        <v>71</v>
      </c>
      <c r="C27" s="2"/>
      <c r="G27" s="2"/>
    </row>
    <row r="28" spans="1:9" x14ac:dyDescent="0.25">
      <c r="A28" s="5" t="s">
        <v>10</v>
      </c>
      <c r="C28" s="2"/>
      <c r="G28" s="2"/>
    </row>
    <row r="29" spans="1:9" x14ac:dyDescent="0.25">
      <c r="A29" s="5" t="s">
        <v>5</v>
      </c>
      <c r="C29" s="2"/>
      <c r="G29" s="2"/>
    </row>
    <row r="31" spans="1:9" x14ac:dyDescent="0.25">
      <c r="A31" s="27" t="s">
        <v>0</v>
      </c>
    </row>
    <row r="32" spans="1:9" x14ac:dyDescent="0.25">
      <c r="A32" s="25" t="s">
        <v>6</v>
      </c>
      <c r="C32" s="16">
        <f>Wireless!$D$3</f>
        <v>302.08999999999997</v>
      </c>
      <c r="E32" s="16">
        <f>Wireless!$C$3</f>
        <v>604.16</v>
      </c>
      <c r="G32" s="16">
        <f>Wireless!$E$3</f>
        <v>906.25</v>
      </c>
    </row>
    <row r="33" spans="1:7" x14ac:dyDescent="0.25">
      <c r="A33" t="s">
        <v>10</v>
      </c>
      <c r="C33" s="16">
        <f>Wireless!$D$58</f>
        <v>6705.9833333333336</v>
      </c>
      <c r="E33" s="16">
        <f>Wireless!$C$58</f>
        <v>13411.926666666666</v>
      </c>
      <c r="G33" s="16" t="e">
        <f>Wireless!#REF!</f>
        <v>#REF!</v>
      </c>
    </row>
    <row r="34" spans="1:7" x14ac:dyDescent="0.25">
      <c r="A34" t="s">
        <v>5</v>
      </c>
      <c r="C34" s="3"/>
      <c r="E34" s="3"/>
      <c r="G34" s="6"/>
    </row>
    <row r="35" spans="1:7" x14ac:dyDescent="0.25">
      <c r="C35" s="12">
        <f>SUM(C32:C34)</f>
        <v>7008.0733333333337</v>
      </c>
      <c r="D35" s="12"/>
      <c r="E35" s="12">
        <f>SUM(E32:E34)</f>
        <v>14016.086666666666</v>
      </c>
      <c r="F35" s="12"/>
      <c r="G35" s="12" t="e">
        <f>SUM(G32:G34)</f>
        <v>#REF!</v>
      </c>
    </row>
    <row r="37" spans="1:7" x14ac:dyDescent="0.25">
      <c r="A37" t="s">
        <v>61</v>
      </c>
    </row>
  </sheetData>
  <pageMargins left="0.45" right="0.45" top="0.5" bottom="0.5" header="0.3" footer="0.3"/>
  <pageSetup orientation="landscape" r:id="rId1"/>
  <headerFooter>
    <oddFooter>&amp;L&amp;Z&amp;F&amp;A&amp;R3/13/12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view="pageLayout" zoomScaleNormal="100" workbookViewId="0"/>
  </sheetViews>
  <sheetFormatPr defaultRowHeight="15" x14ac:dyDescent="0.25"/>
  <cols>
    <col min="1" max="1" width="19.5703125" customWidth="1"/>
    <col min="2" max="2" width="12" customWidth="1"/>
    <col min="3" max="3" width="11.7109375" customWidth="1"/>
    <col min="4" max="4" width="12.140625" customWidth="1"/>
    <col min="5" max="5" width="10.42578125" customWidth="1"/>
    <col min="6" max="6" width="4.28515625" customWidth="1"/>
    <col min="7" max="7" width="10.7109375" customWidth="1"/>
    <col min="8" max="8" width="12.28515625" customWidth="1"/>
  </cols>
  <sheetData>
    <row r="1" spans="1:8" x14ac:dyDescent="0.25">
      <c r="A1" s="1" t="s">
        <v>1</v>
      </c>
      <c r="B1" s="7" t="s">
        <v>42</v>
      </c>
      <c r="C1" s="15" t="s">
        <v>25</v>
      </c>
      <c r="D1" s="15" t="s">
        <v>26</v>
      </c>
      <c r="E1" s="7" t="s">
        <v>24</v>
      </c>
      <c r="G1" s="7" t="s">
        <v>24</v>
      </c>
      <c r="H1" s="7" t="s">
        <v>43</v>
      </c>
    </row>
    <row r="2" spans="1:8" s="29" customFormat="1" x14ac:dyDescent="0.25">
      <c r="A2" s="29" t="s">
        <v>180</v>
      </c>
      <c r="B2" s="32">
        <v>117.3</v>
      </c>
      <c r="C2" s="33"/>
      <c r="D2" s="33">
        <v>117.3</v>
      </c>
      <c r="E2" s="32">
        <v>117.3</v>
      </c>
      <c r="F2" s="12"/>
      <c r="G2" s="32"/>
      <c r="H2" s="35"/>
    </row>
    <row r="3" spans="1:8" s="29" customFormat="1" x14ac:dyDescent="0.25">
      <c r="A3" s="29" t="s">
        <v>5</v>
      </c>
      <c r="B3" s="32">
        <v>300</v>
      </c>
      <c r="C3" s="33"/>
      <c r="D3" s="33">
        <v>300</v>
      </c>
      <c r="E3" s="32">
        <f>SUM(C3:D3)</f>
        <v>300</v>
      </c>
      <c r="F3" s="12"/>
      <c r="G3" s="12"/>
      <c r="H3" s="35"/>
    </row>
    <row r="4" spans="1:8" x14ac:dyDescent="0.25">
      <c r="A4" s="29" t="s">
        <v>181</v>
      </c>
      <c r="B4" s="37" t="s">
        <v>160</v>
      </c>
      <c r="C4" s="38" t="s">
        <v>160</v>
      </c>
      <c r="D4" s="38" t="s">
        <v>160</v>
      </c>
      <c r="E4" s="13">
        <f>SUM(C4:D4)</f>
        <v>0</v>
      </c>
      <c r="F4" s="12"/>
      <c r="G4" s="21"/>
      <c r="H4" s="11"/>
    </row>
    <row r="5" spans="1:8" ht="15.75" thickBot="1" x14ac:dyDescent="0.3">
      <c r="B5" s="14">
        <f>SUM(B2:B4)</f>
        <v>417.3</v>
      </c>
      <c r="C5" s="41">
        <f>SUM(C3:C4)</f>
        <v>0</v>
      </c>
      <c r="D5" s="41">
        <f>SUM(D2:D4)</f>
        <v>417.3</v>
      </c>
      <c r="E5" s="14">
        <f>SUM(E2:E4)</f>
        <v>417.3</v>
      </c>
      <c r="F5" s="12"/>
      <c r="G5" s="13">
        <f>E5</f>
        <v>417.3</v>
      </c>
      <c r="H5" s="23"/>
    </row>
    <row r="6" spans="1:8" ht="16.5" thickTop="1" thickBot="1" x14ac:dyDescent="0.3">
      <c r="G6" s="26">
        <f>SUM(G2:G5)</f>
        <v>417.3</v>
      </c>
      <c r="H6" s="22">
        <v>41025</v>
      </c>
    </row>
    <row r="7" spans="1:8" ht="15.75" thickTop="1" x14ac:dyDescent="0.25"/>
    <row r="8" spans="1:8" ht="30" x14ac:dyDescent="0.25">
      <c r="C8" s="15" t="s">
        <v>25</v>
      </c>
      <c r="D8" s="15" t="s">
        <v>26</v>
      </c>
      <c r="E8" s="7" t="s">
        <v>51</v>
      </c>
    </row>
    <row r="9" spans="1:8" ht="15.75" thickBot="1" x14ac:dyDescent="0.3">
      <c r="C9" s="19">
        <f>C5</f>
        <v>0</v>
      </c>
      <c r="D9" s="19">
        <f>D5</f>
        <v>417.3</v>
      </c>
      <c r="E9" s="19">
        <f>E5</f>
        <v>417.3</v>
      </c>
    </row>
    <row r="10" spans="1:8" ht="15.75" thickTop="1" x14ac:dyDescent="0.25"/>
  </sheetData>
  <pageMargins left="0.45" right="0.45" top="0.75" bottom="0.75" header="0.3" footer="0.3"/>
  <pageSetup orientation="portrait" r:id="rId1"/>
  <headerFooter>
    <oddFooter>&amp;L&amp;Z&amp;F&amp;A&amp;R4/25/12</oddFooter>
  </headerFooter>
  <ignoredErrors>
    <ignoredError sqref="E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1"/>
  <sheetViews>
    <sheetView topLeftCell="A21" zoomScaleNormal="100" workbookViewId="0">
      <selection sqref="A1:E1"/>
    </sheetView>
  </sheetViews>
  <sheetFormatPr defaultRowHeight="15" x14ac:dyDescent="0.25"/>
  <cols>
    <col min="1" max="1" width="21.28515625" customWidth="1"/>
    <col min="2" max="2" width="10.7109375" customWidth="1"/>
    <col min="3" max="3" width="12.42578125" customWidth="1"/>
    <col min="4" max="4" width="11.5703125" customWidth="1"/>
    <col min="5" max="5" width="12" customWidth="1"/>
    <col min="6" max="6" width="2.140625" customWidth="1"/>
    <col min="7" max="7" width="11.85546875" customWidth="1"/>
    <col min="8" max="8" width="13.28515625" style="11" customWidth="1"/>
  </cols>
  <sheetData>
    <row r="1" spans="1:8" x14ac:dyDescent="0.25">
      <c r="A1" s="50" t="s">
        <v>81</v>
      </c>
      <c r="B1" s="51"/>
      <c r="C1" s="51"/>
      <c r="D1" s="51"/>
      <c r="E1" s="52"/>
    </row>
    <row r="2" spans="1:8" s="1" customFormat="1" x14ac:dyDescent="0.25">
      <c r="A2" s="1" t="s">
        <v>1</v>
      </c>
      <c r="B2" s="7" t="s">
        <v>42</v>
      </c>
      <c r="C2" s="15" t="s">
        <v>25</v>
      </c>
      <c r="D2" s="15" t="s">
        <v>26</v>
      </c>
      <c r="E2" s="7" t="s">
        <v>24</v>
      </c>
      <c r="F2" s="7"/>
      <c r="G2" s="8" t="s">
        <v>24</v>
      </c>
      <c r="H2" s="8" t="s">
        <v>43</v>
      </c>
    </row>
    <row r="3" spans="1:8" x14ac:dyDescent="0.25">
      <c r="A3" t="s">
        <v>27</v>
      </c>
      <c r="B3" s="12">
        <v>3499.87</v>
      </c>
      <c r="C3" s="12">
        <v>2333.25</v>
      </c>
      <c r="D3" s="12">
        <v>1166.6199999999999</v>
      </c>
      <c r="E3" s="12">
        <v>3499.87</v>
      </c>
    </row>
    <row r="4" spans="1:8" x14ac:dyDescent="0.25">
      <c r="A4" t="s">
        <v>28</v>
      </c>
      <c r="B4" s="12">
        <v>332.82</v>
      </c>
      <c r="C4" s="12">
        <v>221.88</v>
      </c>
      <c r="D4" s="12">
        <v>110.94</v>
      </c>
      <c r="E4" s="12">
        <v>332.82</v>
      </c>
    </row>
    <row r="5" spans="1:8" x14ac:dyDescent="0.25">
      <c r="A5" t="s">
        <v>29</v>
      </c>
      <c r="B5" s="12">
        <v>10974.08</v>
      </c>
      <c r="C5" s="12">
        <v>8916.44</v>
      </c>
      <c r="D5" s="12">
        <v>2057.64</v>
      </c>
      <c r="E5" s="12">
        <v>10974.08</v>
      </c>
    </row>
    <row r="6" spans="1:8" x14ac:dyDescent="0.25">
      <c r="A6" t="s">
        <v>30</v>
      </c>
      <c r="B6" s="12">
        <v>497.82</v>
      </c>
      <c r="C6" s="12">
        <v>497.82</v>
      </c>
      <c r="D6" s="17" t="s">
        <v>31</v>
      </c>
      <c r="E6" s="12">
        <v>497.82</v>
      </c>
    </row>
    <row r="7" spans="1:8" x14ac:dyDescent="0.25">
      <c r="A7" t="s">
        <v>32</v>
      </c>
      <c r="B7" s="12">
        <v>904.14</v>
      </c>
      <c r="C7" s="12">
        <v>904.14</v>
      </c>
      <c r="D7" s="17" t="s">
        <v>31</v>
      </c>
      <c r="E7" s="12">
        <v>904.14</v>
      </c>
    </row>
    <row r="8" spans="1:8" x14ac:dyDescent="0.25">
      <c r="A8" t="s">
        <v>33</v>
      </c>
      <c r="B8" s="12">
        <v>955.06</v>
      </c>
      <c r="C8" s="12">
        <v>955.06</v>
      </c>
      <c r="D8" s="17" t="s">
        <v>31</v>
      </c>
      <c r="E8" s="12">
        <v>955.06</v>
      </c>
    </row>
    <row r="9" spans="1:8" x14ac:dyDescent="0.25">
      <c r="A9" t="s">
        <v>34</v>
      </c>
      <c r="B9" s="12">
        <v>258.13</v>
      </c>
      <c r="C9" s="12">
        <v>258.13</v>
      </c>
      <c r="D9" s="17" t="s">
        <v>31</v>
      </c>
      <c r="E9" s="12">
        <v>258.13</v>
      </c>
    </row>
    <row r="10" spans="1:8" x14ac:dyDescent="0.25">
      <c r="A10" t="s">
        <v>35</v>
      </c>
      <c r="B10" s="12">
        <v>412.94</v>
      </c>
      <c r="C10" s="12">
        <v>412.94</v>
      </c>
      <c r="D10" s="17" t="s">
        <v>31</v>
      </c>
      <c r="E10" s="12">
        <v>412.94</v>
      </c>
    </row>
    <row r="11" spans="1:8" x14ac:dyDescent="0.25">
      <c r="A11" t="s">
        <v>36</v>
      </c>
      <c r="B11" s="12">
        <v>291.31</v>
      </c>
      <c r="C11" s="12">
        <v>291.31</v>
      </c>
      <c r="D11" s="17" t="s">
        <v>31</v>
      </c>
      <c r="E11" s="12">
        <v>291.31</v>
      </c>
    </row>
    <row r="12" spans="1:8" x14ac:dyDescent="0.25">
      <c r="A12" t="s">
        <v>37</v>
      </c>
      <c r="B12" s="12">
        <v>29.34</v>
      </c>
      <c r="C12" s="12">
        <v>29.34</v>
      </c>
      <c r="D12" s="17" t="s">
        <v>31</v>
      </c>
      <c r="E12" s="12">
        <v>29.34</v>
      </c>
    </row>
    <row r="13" spans="1:8" x14ac:dyDescent="0.25">
      <c r="A13" t="s">
        <v>38</v>
      </c>
      <c r="B13" s="12">
        <v>8.5</v>
      </c>
      <c r="C13" s="12">
        <v>8.5</v>
      </c>
      <c r="D13" s="17" t="s">
        <v>31</v>
      </c>
      <c r="E13" s="12">
        <v>8.5</v>
      </c>
    </row>
    <row r="14" spans="1:8" x14ac:dyDescent="0.25">
      <c r="A14" t="s">
        <v>39</v>
      </c>
      <c r="B14" s="12">
        <v>37.4</v>
      </c>
      <c r="C14" s="12">
        <v>37.4</v>
      </c>
      <c r="D14" s="17" t="s">
        <v>31</v>
      </c>
      <c r="E14" s="12">
        <v>37.4</v>
      </c>
    </row>
    <row r="15" spans="1:8" x14ac:dyDescent="0.25">
      <c r="A15" t="s">
        <v>101</v>
      </c>
      <c r="B15" s="12">
        <v>2571.61</v>
      </c>
      <c r="C15" s="12">
        <v>1714.41</v>
      </c>
      <c r="D15" s="12">
        <v>857.2</v>
      </c>
      <c r="E15" s="12">
        <v>2571.61</v>
      </c>
    </row>
    <row r="16" spans="1:8" ht="17.25" x14ac:dyDescent="0.25">
      <c r="A16" t="s">
        <v>186</v>
      </c>
      <c r="B16" s="12">
        <v>4218.63</v>
      </c>
      <c r="C16" s="12">
        <v>2812.42</v>
      </c>
      <c r="D16" s="12">
        <v>1406.21</v>
      </c>
      <c r="E16" s="12">
        <v>4218.63</v>
      </c>
    </row>
    <row r="17" spans="1:8" x14ac:dyDescent="0.25">
      <c r="A17" t="s">
        <v>40</v>
      </c>
      <c r="B17" s="12">
        <v>195</v>
      </c>
      <c r="C17" s="12">
        <v>195</v>
      </c>
      <c r="D17" s="17" t="s">
        <v>31</v>
      </c>
      <c r="E17" s="12">
        <v>195</v>
      </c>
    </row>
    <row r="18" spans="1:8" ht="17.25" x14ac:dyDescent="0.25">
      <c r="A18" t="s">
        <v>102</v>
      </c>
      <c r="B18" s="13">
        <v>93</v>
      </c>
      <c r="C18" s="13">
        <f>94/3*2</f>
        <v>62.666666666666664</v>
      </c>
      <c r="D18" s="13">
        <f>94/3</f>
        <v>31.333333333333332</v>
      </c>
      <c r="E18" s="13">
        <f>SUM(C18:D18)</f>
        <v>94</v>
      </c>
    </row>
    <row r="19" spans="1:8" ht="15.75" thickBot="1" x14ac:dyDescent="0.3">
      <c r="B19" s="14">
        <f>SUM(B3:B18)</f>
        <v>25279.650000000005</v>
      </c>
      <c r="C19" s="14">
        <f>SUM(C3:C18)</f>
        <v>19650.706666666669</v>
      </c>
      <c r="D19" s="14">
        <f>SUM(D3:D18)</f>
        <v>5629.9433333333327</v>
      </c>
      <c r="E19" s="14">
        <f>SUM(E3:E18)</f>
        <v>25280.650000000005</v>
      </c>
      <c r="G19" s="24">
        <f>E19</f>
        <v>25280.650000000005</v>
      </c>
      <c r="H19" s="23">
        <v>40969</v>
      </c>
    </row>
    <row r="20" spans="1:8" ht="15.75" thickTop="1" x14ac:dyDescent="0.25">
      <c r="A20" t="s">
        <v>188</v>
      </c>
      <c r="B20" s="21"/>
      <c r="C20" s="21"/>
      <c r="D20" s="21"/>
      <c r="E20" s="21"/>
      <c r="G20" s="24"/>
      <c r="H20" s="23"/>
    </row>
    <row r="21" spans="1:8" x14ac:dyDescent="0.25">
      <c r="A21" t="s">
        <v>189</v>
      </c>
      <c r="B21" s="21"/>
      <c r="C21" s="21"/>
      <c r="D21" s="21"/>
      <c r="E21" s="21"/>
      <c r="G21" s="24"/>
      <c r="H21" s="23"/>
    </row>
    <row r="22" spans="1:8" x14ac:dyDescent="0.25">
      <c r="A22" t="s">
        <v>103</v>
      </c>
    </row>
    <row r="24" spans="1:8" x14ac:dyDescent="0.25">
      <c r="A24" s="50" t="s">
        <v>45</v>
      </c>
      <c r="B24" s="51"/>
      <c r="C24" s="51"/>
      <c r="D24" s="51"/>
      <c r="E24" s="52"/>
    </row>
    <row r="25" spans="1:8" x14ac:dyDescent="0.25">
      <c r="A25" s="1" t="s">
        <v>1</v>
      </c>
      <c r="B25" s="7" t="s">
        <v>42</v>
      </c>
      <c r="C25" s="15" t="s">
        <v>25</v>
      </c>
      <c r="D25" s="15" t="s">
        <v>26</v>
      </c>
      <c r="E25" s="7" t="s">
        <v>24</v>
      </c>
    </row>
    <row r="26" spans="1:8" ht="18" thickBot="1" x14ac:dyDescent="0.3">
      <c r="A26" t="s">
        <v>187</v>
      </c>
      <c r="B26" s="18">
        <v>2902</v>
      </c>
      <c r="C26" s="18">
        <v>1934.66</v>
      </c>
      <c r="D26" s="18">
        <v>967.34</v>
      </c>
      <c r="E26" s="18">
        <f>SUM(C26:D26)</f>
        <v>2902</v>
      </c>
      <c r="G26" s="24">
        <f>E26</f>
        <v>2902</v>
      </c>
      <c r="H26" s="23">
        <v>40969</v>
      </c>
    </row>
    <row r="27" spans="1:8" ht="15.75" thickTop="1" x14ac:dyDescent="0.25">
      <c r="A27" t="s">
        <v>190</v>
      </c>
      <c r="B27" s="21"/>
      <c r="C27" s="21"/>
      <c r="D27" s="21"/>
      <c r="E27" s="21"/>
      <c r="G27" s="24"/>
      <c r="H27" s="23"/>
    </row>
    <row r="28" spans="1:8" x14ac:dyDescent="0.25">
      <c r="A28" t="s">
        <v>191</v>
      </c>
      <c r="B28" s="21"/>
      <c r="C28" s="21"/>
      <c r="D28" s="21"/>
      <c r="E28" s="21"/>
      <c r="G28" s="24"/>
      <c r="H28" s="23"/>
    </row>
    <row r="30" spans="1:8" x14ac:dyDescent="0.25">
      <c r="A30" s="50" t="s">
        <v>46</v>
      </c>
      <c r="B30" s="51"/>
      <c r="C30" s="51"/>
      <c r="D30" s="51"/>
      <c r="E30" s="52"/>
    </row>
    <row r="31" spans="1:8" x14ac:dyDescent="0.25">
      <c r="A31" s="1" t="s">
        <v>1</v>
      </c>
      <c r="B31" s="7" t="s">
        <v>42</v>
      </c>
      <c r="C31" s="15" t="s">
        <v>25</v>
      </c>
      <c r="D31" s="15" t="s">
        <v>26</v>
      </c>
      <c r="E31" s="7" t="s">
        <v>24</v>
      </c>
    </row>
    <row r="32" spans="1:8" ht="15.75" thickBot="1" x14ac:dyDescent="0.3">
      <c r="A32" t="s">
        <v>47</v>
      </c>
      <c r="B32" s="18">
        <v>1594</v>
      </c>
      <c r="C32" s="18">
        <v>1062.6600000000001</v>
      </c>
      <c r="D32" s="18">
        <v>531.34</v>
      </c>
      <c r="E32" s="18">
        <f>SUM(C32:D32)</f>
        <v>1594</v>
      </c>
      <c r="G32" s="24">
        <f>E32</f>
        <v>1594</v>
      </c>
      <c r="H32" s="23">
        <v>40969</v>
      </c>
    </row>
    <row r="33" spans="1:8" ht="15.75" thickTop="1" x14ac:dyDescent="0.25"/>
    <row r="34" spans="1:8" x14ac:dyDescent="0.25">
      <c r="A34" s="50" t="s">
        <v>73</v>
      </c>
      <c r="B34" s="51"/>
      <c r="C34" s="51"/>
      <c r="D34" s="51"/>
      <c r="E34" s="52"/>
    </row>
    <row r="35" spans="1:8" x14ac:dyDescent="0.25">
      <c r="A35" s="1" t="s">
        <v>1</v>
      </c>
      <c r="B35" s="7" t="s">
        <v>42</v>
      </c>
      <c r="C35" s="15" t="s">
        <v>25</v>
      </c>
      <c r="D35" s="15" t="s">
        <v>26</v>
      </c>
      <c r="E35" s="7" t="s">
        <v>24</v>
      </c>
    </row>
    <row r="36" spans="1:8" x14ac:dyDescent="0.25">
      <c r="A36" t="s">
        <v>48</v>
      </c>
      <c r="B36" s="12">
        <v>1552.9</v>
      </c>
      <c r="C36" s="12">
        <f>1552.9/3*2</f>
        <v>1035.2666666666667</v>
      </c>
      <c r="D36" s="12">
        <v>517.64</v>
      </c>
      <c r="E36" s="12">
        <f>SUM(C36:D36)</f>
        <v>1552.9066666666668</v>
      </c>
      <c r="G36" s="16"/>
    </row>
    <row r="37" spans="1:8" x14ac:dyDescent="0.25">
      <c r="A37" t="s">
        <v>49</v>
      </c>
      <c r="B37" s="12">
        <v>1250.06</v>
      </c>
      <c r="C37" s="12">
        <f>1250.06/3*2</f>
        <v>833.37333333333333</v>
      </c>
      <c r="D37" s="12">
        <f>1250.05/3</f>
        <v>416.68333333333334</v>
      </c>
      <c r="E37" s="12">
        <f>SUM(C37:D37)</f>
        <v>1250.0566666666666</v>
      </c>
      <c r="F37" s="16"/>
      <c r="G37" s="16"/>
    </row>
    <row r="38" spans="1:8" x14ac:dyDescent="0.25">
      <c r="A38" t="s">
        <v>50</v>
      </c>
      <c r="B38" s="13">
        <v>3289.52</v>
      </c>
      <c r="C38" s="13">
        <f>3289.52/3*2</f>
        <v>2193.0133333333333</v>
      </c>
      <c r="D38" s="13">
        <f>3289.52/3</f>
        <v>1096.5066666666667</v>
      </c>
      <c r="E38" s="13">
        <f>SUM(C38:D38)</f>
        <v>3289.52</v>
      </c>
      <c r="G38" s="24"/>
    </row>
    <row r="39" spans="1:8" ht="15.75" thickBot="1" x14ac:dyDescent="0.3">
      <c r="B39" s="14">
        <f>SUM(B36:B38)</f>
        <v>6092.48</v>
      </c>
      <c r="C39" s="14">
        <f>SUM(C36:C38)</f>
        <v>4061.6533333333332</v>
      </c>
      <c r="D39" s="14">
        <f>SUM(D36:D38)</f>
        <v>2030.83</v>
      </c>
      <c r="E39" s="14">
        <f>SUM(E36:E38)</f>
        <v>6092.4833333333336</v>
      </c>
      <c r="G39" s="24">
        <f>E39</f>
        <v>6092.4833333333336</v>
      </c>
      <c r="H39" s="23">
        <v>40976</v>
      </c>
    </row>
    <row r="40" spans="1:8" ht="15.75" thickTop="1" x14ac:dyDescent="0.25">
      <c r="B40" s="12"/>
      <c r="C40" s="12"/>
      <c r="D40" s="12"/>
      <c r="E40" s="12"/>
      <c r="G40" s="16"/>
    </row>
    <row r="41" spans="1:8" x14ac:dyDescent="0.25">
      <c r="A41" s="50" t="s">
        <v>82</v>
      </c>
      <c r="B41" s="51"/>
      <c r="C41" s="51"/>
      <c r="D41" s="51"/>
      <c r="E41" s="52"/>
    </row>
    <row r="42" spans="1:8" x14ac:dyDescent="0.25">
      <c r="A42" s="1" t="s">
        <v>1</v>
      </c>
      <c r="B42" s="7" t="s">
        <v>42</v>
      </c>
      <c r="C42" s="15" t="s">
        <v>25</v>
      </c>
      <c r="D42" s="15" t="s">
        <v>26</v>
      </c>
      <c r="E42" s="7" t="s">
        <v>24</v>
      </c>
    </row>
    <row r="43" spans="1:8" x14ac:dyDescent="0.25">
      <c r="A43" t="s">
        <v>84</v>
      </c>
      <c r="B43" s="12">
        <v>138.49</v>
      </c>
      <c r="C43" s="12">
        <f>138.49/3*2</f>
        <v>92.326666666666668</v>
      </c>
      <c r="D43" s="12">
        <f>138.49/3</f>
        <v>46.163333333333334</v>
      </c>
      <c r="E43" s="12">
        <f>SUM(C43:D43)</f>
        <v>138.49</v>
      </c>
      <c r="F43" s="16"/>
      <c r="G43" s="16"/>
    </row>
    <row r="44" spans="1:8" x14ac:dyDescent="0.25">
      <c r="A44" t="s">
        <v>83</v>
      </c>
      <c r="B44" s="21">
        <v>710.84</v>
      </c>
      <c r="C44" s="21">
        <f>710.84/3*2</f>
        <v>473.89333333333337</v>
      </c>
      <c r="D44" s="21">
        <f>710.84/3</f>
        <v>236.94666666666669</v>
      </c>
      <c r="E44" s="21">
        <f>SUM(C44:D44)</f>
        <v>710.84</v>
      </c>
      <c r="F44" s="16"/>
      <c r="G44" s="16"/>
    </row>
    <row r="45" spans="1:8" x14ac:dyDescent="0.25">
      <c r="A45" t="s">
        <v>41</v>
      </c>
      <c r="B45" s="12">
        <v>17</v>
      </c>
      <c r="C45" s="12">
        <f>17/3*2</f>
        <v>11.333333333333334</v>
      </c>
      <c r="D45" s="12">
        <f>17/3</f>
        <v>5.666666666666667</v>
      </c>
      <c r="E45" s="16">
        <f>SUM(C45:D45)</f>
        <v>17</v>
      </c>
      <c r="G45" s="24"/>
    </row>
    <row r="46" spans="1:8" ht="15.75" thickBot="1" x14ac:dyDescent="0.3">
      <c r="B46" s="14">
        <f>SUM(B43:B45)</f>
        <v>866.33</v>
      </c>
      <c r="C46" s="14">
        <f>SUM(C43:C45)</f>
        <v>577.5533333333334</v>
      </c>
      <c r="D46" s="14">
        <f>SUM(D43:D45)</f>
        <v>288.7766666666667</v>
      </c>
      <c r="E46" s="14">
        <f>SUM(E43:E45)</f>
        <v>866.33</v>
      </c>
      <c r="G46" s="24">
        <f>E46</f>
        <v>866.33</v>
      </c>
      <c r="H46" s="23">
        <v>40990</v>
      </c>
    </row>
    <row r="47" spans="1:8" ht="15.75" thickTop="1" x14ac:dyDescent="0.25">
      <c r="B47" s="34"/>
      <c r="C47" s="34"/>
      <c r="D47" s="34"/>
      <c r="E47" s="34"/>
      <c r="G47" s="24"/>
      <c r="H47" s="23"/>
    </row>
    <row r="48" spans="1:8" x14ac:dyDescent="0.25">
      <c r="A48" s="50" t="s">
        <v>106</v>
      </c>
      <c r="B48" s="51"/>
      <c r="C48" s="51"/>
      <c r="D48" s="51"/>
      <c r="E48" s="52"/>
    </row>
    <row r="49" spans="1:8" x14ac:dyDescent="0.25">
      <c r="A49" s="1" t="s">
        <v>1</v>
      </c>
      <c r="B49" s="7" t="s">
        <v>42</v>
      </c>
      <c r="C49" s="15" t="s">
        <v>25</v>
      </c>
      <c r="D49" s="15" t="s">
        <v>26</v>
      </c>
      <c r="E49" s="7" t="s">
        <v>24</v>
      </c>
      <c r="G49" s="8" t="s">
        <v>24</v>
      </c>
      <c r="H49" s="8" t="s">
        <v>43</v>
      </c>
    </row>
    <row r="50" spans="1:8" ht="15.75" thickBot="1" x14ac:dyDescent="0.3">
      <c r="A50" t="s">
        <v>107</v>
      </c>
      <c r="B50" s="18">
        <v>738.75</v>
      </c>
      <c r="C50" s="18">
        <f>738.75/3*2</f>
        <v>492.5</v>
      </c>
      <c r="D50" s="18">
        <f>738.75/3</f>
        <v>246.25</v>
      </c>
      <c r="E50" s="18">
        <f>SUM(C50:D50)</f>
        <v>738.75</v>
      </c>
      <c r="G50" s="24">
        <f>E50</f>
        <v>738.75</v>
      </c>
      <c r="H50" s="23">
        <v>40990</v>
      </c>
    </row>
    <row r="51" spans="1:8" ht="15.75" thickTop="1" x14ac:dyDescent="0.25">
      <c r="B51" s="21"/>
      <c r="C51" s="21"/>
      <c r="D51" s="21"/>
      <c r="E51" s="21"/>
      <c r="G51" s="24"/>
      <c r="H51" s="23"/>
    </row>
    <row r="52" spans="1:8" x14ac:dyDescent="0.25">
      <c r="A52" s="50" t="s">
        <v>91</v>
      </c>
      <c r="B52" s="51"/>
      <c r="C52" s="51"/>
      <c r="D52" s="51"/>
      <c r="E52" s="52"/>
      <c r="G52" s="2"/>
      <c r="H52" s="22"/>
    </row>
    <row r="53" spans="1:8" x14ac:dyDescent="0.25">
      <c r="A53" s="1" t="s">
        <v>1</v>
      </c>
      <c r="B53" s="7" t="s">
        <v>42</v>
      </c>
      <c r="C53" s="15" t="s">
        <v>25</v>
      </c>
      <c r="D53" s="15" t="s">
        <v>26</v>
      </c>
      <c r="E53" s="7" t="s">
        <v>24</v>
      </c>
      <c r="G53" s="2"/>
      <c r="H53" s="22"/>
    </row>
    <row r="54" spans="1:8" s="29" customFormat="1" x14ac:dyDescent="0.25">
      <c r="A54" s="29" t="s">
        <v>183</v>
      </c>
      <c r="B54" s="32">
        <v>4218.63</v>
      </c>
      <c r="C54" s="33">
        <f>4218.63/3*2</f>
        <v>2812.42</v>
      </c>
      <c r="D54" s="33">
        <f>4218.63/3</f>
        <v>1406.21</v>
      </c>
      <c r="E54" s="32">
        <f>SUM(C54:D54)</f>
        <v>4218.63</v>
      </c>
      <c r="G54" s="30"/>
      <c r="H54" s="31"/>
    </row>
    <row r="55" spans="1:8" x14ac:dyDescent="0.25">
      <c r="A55" t="s">
        <v>92</v>
      </c>
      <c r="B55" s="12">
        <v>28.86</v>
      </c>
      <c r="C55" s="12">
        <f>28.86/3*2</f>
        <v>19.239999999999998</v>
      </c>
      <c r="D55" s="12">
        <f>28.86/3</f>
        <v>9.6199999999999992</v>
      </c>
      <c r="E55" s="12">
        <f>SUM(C55:D55)</f>
        <v>28.86</v>
      </c>
      <c r="G55" s="12"/>
      <c r="H55"/>
    </row>
    <row r="56" spans="1:8" x14ac:dyDescent="0.25">
      <c r="A56" t="s">
        <v>93</v>
      </c>
      <c r="B56" s="12">
        <v>40.83</v>
      </c>
      <c r="C56" s="12">
        <f>40.83/3*2</f>
        <v>27.22</v>
      </c>
      <c r="D56" s="12">
        <f>40.83/3</f>
        <v>13.61</v>
      </c>
      <c r="E56" s="12">
        <f>SUM(C56:D56)</f>
        <v>40.83</v>
      </c>
      <c r="G56" s="12"/>
      <c r="H56"/>
    </row>
    <row r="57" spans="1:8" x14ac:dyDescent="0.25">
      <c r="A57" t="s">
        <v>41</v>
      </c>
      <c r="B57" s="12">
        <v>25</v>
      </c>
      <c r="C57" s="12">
        <f>25/3*2</f>
        <v>16.666666666666668</v>
      </c>
      <c r="D57" s="12">
        <f>25/3</f>
        <v>8.3333333333333339</v>
      </c>
      <c r="E57" s="12">
        <f>SUM(C57:D57)</f>
        <v>25</v>
      </c>
      <c r="G57" s="12"/>
      <c r="H57"/>
    </row>
    <row r="58" spans="1:8" ht="15.75" thickBot="1" x14ac:dyDescent="0.3">
      <c r="B58" s="14">
        <f>SUM(B54:B57)</f>
        <v>4313.32</v>
      </c>
      <c r="C58" s="14">
        <f>SUM(C54:C57)</f>
        <v>2875.5466666666662</v>
      </c>
      <c r="D58" s="14">
        <f>SUM(D54:D57)</f>
        <v>1437.7733333333331</v>
      </c>
      <c r="E58" s="14">
        <f>SUM(E54:E57)</f>
        <v>4313.32</v>
      </c>
      <c r="G58" s="16">
        <f>E58</f>
        <v>4313.32</v>
      </c>
      <c r="H58" s="22">
        <v>40997</v>
      </c>
    </row>
    <row r="59" spans="1:8" ht="15.75" thickTop="1" x14ac:dyDescent="0.25">
      <c r="B59" s="21"/>
      <c r="C59" s="21"/>
      <c r="D59" s="21"/>
      <c r="E59" s="21"/>
      <c r="G59" s="16"/>
      <c r="H59" s="22"/>
    </row>
    <row r="60" spans="1:8" x14ac:dyDescent="0.25">
      <c r="A60" s="50" t="s">
        <v>94</v>
      </c>
      <c r="B60" s="51"/>
      <c r="C60" s="51"/>
      <c r="D60" s="51"/>
      <c r="E60" s="52"/>
    </row>
    <row r="61" spans="1:8" x14ac:dyDescent="0.25">
      <c r="A61" s="1" t="s">
        <v>1</v>
      </c>
      <c r="B61" s="7" t="s">
        <v>42</v>
      </c>
      <c r="C61" s="15" t="s">
        <v>25</v>
      </c>
      <c r="D61" s="15" t="s">
        <v>26</v>
      </c>
      <c r="E61" s="7" t="s">
        <v>24</v>
      </c>
    </row>
    <row r="62" spans="1:8" x14ac:dyDescent="0.25">
      <c r="A62" t="s">
        <v>95</v>
      </c>
      <c r="B62" s="12">
        <v>126</v>
      </c>
      <c r="C62" s="12">
        <v>126</v>
      </c>
      <c r="D62" s="12">
        <v>0</v>
      </c>
      <c r="E62" s="12">
        <f>SUM(C62:D62)</f>
        <v>126</v>
      </c>
      <c r="G62" s="16"/>
    </row>
    <row r="63" spans="1:8" x14ac:dyDescent="0.25">
      <c r="A63" t="s">
        <v>96</v>
      </c>
      <c r="B63" s="12">
        <v>90</v>
      </c>
      <c r="C63" s="12">
        <v>90</v>
      </c>
      <c r="D63" s="12">
        <v>0</v>
      </c>
      <c r="E63" s="12">
        <f>SUM(C63:D63)</f>
        <v>90</v>
      </c>
      <c r="F63" s="16"/>
      <c r="G63" s="16"/>
    </row>
    <row r="64" spans="1:8" x14ac:dyDescent="0.25">
      <c r="A64" t="s">
        <v>41</v>
      </c>
      <c r="B64" s="13">
        <v>69</v>
      </c>
      <c r="C64" s="13">
        <v>69</v>
      </c>
      <c r="D64" s="13">
        <v>0</v>
      </c>
      <c r="E64" s="13">
        <f>SUM(C64:D64)</f>
        <v>69</v>
      </c>
      <c r="G64" s="24"/>
    </row>
    <row r="65" spans="1:8" ht="15.75" thickBot="1" x14ac:dyDescent="0.3">
      <c r="B65" s="14">
        <f>SUM(B62:B64)</f>
        <v>285</v>
      </c>
      <c r="C65" s="14">
        <f>SUM(C62:C64)</f>
        <v>285</v>
      </c>
      <c r="D65" s="14">
        <v>0</v>
      </c>
      <c r="E65" s="14">
        <f>SUM(E62:E64)</f>
        <v>285</v>
      </c>
      <c r="G65" s="24">
        <f>E65</f>
        <v>285</v>
      </c>
      <c r="H65" s="23">
        <v>40997</v>
      </c>
    </row>
    <row r="66" spans="1:8" ht="15.75" thickTop="1" x14ac:dyDescent="0.25">
      <c r="B66" s="21"/>
      <c r="C66" s="21"/>
      <c r="D66" s="21"/>
      <c r="E66" s="21"/>
      <c r="G66" s="24"/>
      <c r="H66" s="23"/>
    </row>
    <row r="67" spans="1:8" x14ac:dyDescent="0.25">
      <c r="A67" s="50" t="s">
        <v>104</v>
      </c>
      <c r="B67" s="51"/>
      <c r="C67" s="51"/>
      <c r="D67" s="51"/>
      <c r="E67" s="52"/>
    </row>
    <row r="68" spans="1:8" x14ac:dyDescent="0.25">
      <c r="A68" s="1" t="s">
        <v>1</v>
      </c>
      <c r="B68" s="7" t="s">
        <v>42</v>
      </c>
      <c r="C68" s="15" t="s">
        <v>25</v>
      </c>
      <c r="D68" s="15" t="s">
        <v>26</v>
      </c>
      <c r="E68" s="7" t="s">
        <v>24</v>
      </c>
    </row>
    <row r="69" spans="1:8" ht="15.75" thickBot="1" x14ac:dyDescent="0.3">
      <c r="A69" t="s">
        <v>105</v>
      </c>
      <c r="B69" s="18">
        <v>2902</v>
      </c>
      <c r="C69" s="18">
        <f>2902/3*2</f>
        <v>1934.6666666666667</v>
      </c>
      <c r="D69" s="18">
        <f>2902/3</f>
        <v>967.33333333333337</v>
      </c>
      <c r="E69" s="18">
        <f>SUM(C69:D69)</f>
        <v>2902</v>
      </c>
      <c r="G69" s="24">
        <f>E69</f>
        <v>2902</v>
      </c>
      <c r="H69" s="23">
        <v>41004</v>
      </c>
    </row>
    <row r="70" spans="1:8" ht="15.75" thickTop="1" x14ac:dyDescent="0.25">
      <c r="B70" s="21"/>
      <c r="C70" s="21"/>
      <c r="D70" s="21"/>
      <c r="E70" s="21"/>
      <c r="G70" s="24"/>
      <c r="H70" s="23"/>
    </row>
    <row r="71" spans="1:8" x14ac:dyDescent="0.25">
      <c r="A71" s="50" t="s">
        <v>109</v>
      </c>
      <c r="B71" s="51"/>
      <c r="C71" s="51"/>
      <c r="D71" s="51"/>
      <c r="E71" s="52"/>
    </row>
    <row r="72" spans="1:8" x14ac:dyDescent="0.25">
      <c r="A72" t="s">
        <v>99</v>
      </c>
      <c r="B72" s="12">
        <v>13167</v>
      </c>
      <c r="C72" s="12"/>
      <c r="D72" s="12"/>
      <c r="E72" s="12"/>
      <c r="G72" s="24"/>
    </row>
    <row r="73" spans="1:8" x14ac:dyDescent="0.25">
      <c r="B73" s="12"/>
      <c r="C73" s="12"/>
      <c r="D73" s="12"/>
      <c r="E73" s="12"/>
      <c r="G73" s="24"/>
    </row>
    <row r="74" spans="1:8" x14ac:dyDescent="0.25">
      <c r="A74" s="50" t="s">
        <v>134</v>
      </c>
      <c r="B74" s="51"/>
      <c r="C74" s="51"/>
      <c r="D74" s="51"/>
      <c r="E74" s="52"/>
    </row>
    <row r="75" spans="1:8" x14ac:dyDescent="0.25">
      <c r="A75" s="1" t="s">
        <v>1</v>
      </c>
      <c r="B75" s="7" t="s">
        <v>42</v>
      </c>
      <c r="C75" s="15" t="s">
        <v>25</v>
      </c>
      <c r="D75" s="15" t="s">
        <v>26</v>
      </c>
      <c r="E75" s="7" t="s">
        <v>24</v>
      </c>
    </row>
    <row r="76" spans="1:8" x14ac:dyDescent="0.25">
      <c r="A76" t="s">
        <v>129</v>
      </c>
      <c r="B76" s="12"/>
      <c r="C76" s="12">
        <f>1155/3*2</f>
        <v>770</v>
      </c>
      <c r="D76" s="12">
        <f>1155/3</f>
        <v>385</v>
      </c>
      <c r="E76" s="12">
        <f>SUM(C76:D76)</f>
        <v>1155</v>
      </c>
      <c r="G76" s="16"/>
    </row>
    <row r="77" spans="1:8" x14ac:dyDescent="0.25">
      <c r="A77" t="s">
        <v>130</v>
      </c>
      <c r="B77" s="12"/>
      <c r="C77" s="12">
        <f>435/3*2</f>
        <v>290</v>
      </c>
      <c r="D77" s="12">
        <f>435/3</f>
        <v>145</v>
      </c>
      <c r="E77" s="12">
        <f>SUM(C77:D77)</f>
        <v>435</v>
      </c>
      <c r="G77" s="16"/>
    </row>
    <row r="78" spans="1:8" x14ac:dyDescent="0.25">
      <c r="A78" t="s">
        <v>131</v>
      </c>
      <c r="B78" s="12"/>
      <c r="C78" s="12">
        <f>495/3*2</f>
        <v>330</v>
      </c>
      <c r="D78" s="12">
        <f>495/3</f>
        <v>165</v>
      </c>
      <c r="E78" s="12">
        <f>SUM(C78:D78)</f>
        <v>495</v>
      </c>
      <c r="G78" s="16"/>
    </row>
    <row r="79" spans="1:8" x14ac:dyDescent="0.25">
      <c r="A79" t="s">
        <v>132</v>
      </c>
      <c r="B79" s="12"/>
      <c r="C79" s="12">
        <f>145/3*2</f>
        <v>96.666666666666671</v>
      </c>
      <c r="D79" s="12">
        <f>145/3</f>
        <v>48.333333333333336</v>
      </c>
      <c r="E79" s="12">
        <f>SUM(C79:D79)</f>
        <v>145</v>
      </c>
      <c r="G79" s="16"/>
    </row>
    <row r="80" spans="1:8" x14ac:dyDescent="0.25">
      <c r="A80" t="s">
        <v>133</v>
      </c>
      <c r="B80" s="12"/>
      <c r="C80" s="12">
        <f>495/3*2</f>
        <v>330</v>
      </c>
      <c r="D80" s="12">
        <f>495/3</f>
        <v>165</v>
      </c>
      <c r="E80" s="12">
        <f>SUM(C80:D80)</f>
        <v>495</v>
      </c>
      <c r="G80" s="24"/>
    </row>
    <row r="81" spans="1:8" ht="15.75" thickBot="1" x14ac:dyDescent="0.3">
      <c r="B81" s="14">
        <f>SUM(B76:B80)</f>
        <v>0</v>
      </c>
      <c r="C81" s="14">
        <f>SUM(C76:C80)</f>
        <v>1816.6666666666667</v>
      </c>
      <c r="D81" s="14">
        <f>SUM(D76:D80)</f>
        <v>908.33333333333337</v>
      </c>
      <c r="E81" s="14">
        <f>SUM(E76:E80)</f>
        <v>2725</v>
      </c>
      <c r="G81" s="24">
        <f>E81</f>
        <v>2725</v>
      </c>
      <c r="H81" s="23">
        <v>41004</v>
      </c>
    </row>
    <row r="82" spans="1:8" ht="15.75" thickTop="1" x14ac:dyDescent="0.25">
      <c r="B82" s="12"/>
      <c r="C82" s="12"/>
      <c r="D82" s="12"/>
      <c r="E82" s="12"/>
      <c r="G82" s="24"/>
    </row>
    <row r="83" spans="1:8" x14ac:dyDescent="0.25">
      <c r="A83" s="50" t="s">
        <v>116</v>
      </c>
      <c r="B83" s="51"/>
      <c r="C83" s="51"/>
      <c r="D83" s="51"/>
      <c r="E83" s="52"/>
    </row>
    <row r="84" spans="1:8" x14ac:dyDescent="0.25">
      <c r="A84" s="1" t="s">
        <v>1</v>
      </c>
      <c r="B84" s="7" t="s">
        <v>42</v>
      </c>
      <c r="C84" s="15" t="s">
        <v>25</v>
      </c>
      <c r="D84" s="15" t="s">
        <v>26</v>
      </c>
      <c r="E84" s="7" t="s">
        <v>24</v>
      </c>
    </row>
    <row r="85" spans="1:8" ht="15.75" thickBot="1" x14ac:dyDescent="0.3">
      <c r="A85" t="s">
        <v>111</v>
      </c>
      <c r="B85" s="18"/>
      <c r="C85" s="18">
        <v>55</v>
      </c>
      <c r="D85" s="18">
        <v>27.5</v>
      </c>
      <c r="E85" s="18">
        <f>SUM(C85:D85)</f>
        <v>82.5</v>
      </c>
      <c r="G85" s="24">
        <f>E85</f>
        <v>82.5</v>
      </c>
      <c r="H85" s="23">
        <v>41004</v>
      </c>
    </row>
    <row r="86" spans="1:8" ht="15.75" thickTop="1" x14ac:dyDescent="0.25">
      <c r="B86" s="21"/>
      <c r="C86" s="21"/>
      <c r="D86" s="21"/>
      <c r="E86" s="21"/>
      <c r="G86" s="24"/>
      <c r="H86" s="23"/>
    </row>
    <row r="87" spans="1:8" x14ac:dyDescent="0.25">
      <c r="A87" s="50" t="s">
        <v>141</v>
      </c>
      <c r="B87" s="51"/>
      <c r="C87" s="51"/>
      <c r="D87" s="51"/>
      <c r="E87" s="52"/>
    </row>
    <row r="88" spans="1:8" x14ac:dyDescent="0.25">
      <c r="A88" s="1" t="s">
        <v>1</v>
      </c>
      <c r="B88" s="7" t="s">
        <v>42</v>
      </c>
      <c r="C88" s="15" t="s">
        <v>25</v>
      </c>
      <c r="D88" s="15" t="s">
        <v>26</v>
      </c>
      <c r="E88" s="7" t="s">
        <v>24</v>
      </c>
    </row>
    <row r="89" spans="1:8" x14ac:dyDescent="0.25">
      <c r="A89" t="s">
        <v>138</v>
      </c>
      <c r="B89" s="12">
        <v>149</v>
      </c>
      <c r="C89" s="12">
        <f>149/3*2</f>
        <v>99.333333333333329</v>
      </c>
      <c r="D89" s="12">
        <f>149/3</f>
        <v>49.666666666666664</v>
      </c>
      <c r="E89" s="12">
        <f>SUM(C89:D89)</f>
        <v>149</v>
      </c>
      <c r="G89" s="16"/>
    </row>
    <row r="90" spans="1:8" x14ac:dyDescent="0.25">
      <c r="A90" t="s">
        <v>139</v>
      </c>
      <c r="B90" s="12">
        <v>13</v>
      </c>
      <c r="C90" s="12">
        <f>13/3*2</f>
        <v>8.6666666666666661</v>
      </c>
      <c r="D90" s="12">
        <f>13/3</f>
        <v>4.333333333333333</v>
      </c>
      <c r="E90" s="12">
        <f>SUM(C90:D90)</f>
        <v>13</v>
      </c>
      <c r="G90" s="24"/>
    </row>
    <row r="91" spans="1:8" ht="15.75" thickBot="1" x14ac:dyDescent="0.3">
      <c r="B91" s="14">
        <f>SUM(B89:B90)</f>
        <v>162</v>
      </c>
      <c r="C91" s="14">
        <f>SUM(C89:C90)</f>
        <v>108</v>
      </c>
      <c r="D91" s="14">
        <f>SUM(D89:D90)</f>
        <v>54</v>
      </c>
      <c r="E91" s="14">
        <f>SUM(E89:E90)</f>
        <v>162</v>
      </c>
      <c r="G91" s="24">
        <f>E91</f>
        <v>162</v>
      </c>
      <c r="H91" s="23">
        <v>41011</v>
      </c>
    </row>
    <row r="92" spans="1:8" ht="15.75" thickTop="1" x14ac:dyDescent="0.25">
      <c r="B92" s="21"/>
      <c r="C92" s="21"/>
      <c r="D92" s="21"/>
      <c r="E92" s="21"/>
      <c r="G92" s="24"/>
      <c r="H92" s="23"/>
    </row>
    <row r="93" spans="1:8" x14ac:dyDescent="0.25">
      <c r="A93" s="50" t="s">
        <v>142</v>
      </c>
      <c r="B93" s="51"/>
      <c r="C93" s="51"/>
      <c r="D93" s="51"/>
      <c r="E93" s="52"/>
    </row>
    <row r="94" spans="1:8" x14ac:dyDescent="0.25">
      <c r="A94" s="1" t="s">
        <v>1</v>
      </c>
      <c r="B94" s="7" t="s">
        <v>42</v>
      </c>
      <c r="C94" s="15" t="s">
        <v>25</v>
      </c>
      <c r="D94" s="15" t="s">
        <v>26</v>
      </c>
      <c r="E94" s="7" t="s">
        <v>24</v>
      </c>
      <c r="G94" s="8" t="s">
        <v>24</v>
      </c>
      <c r="H94" s="8" t="s">
        <v>43</v>
      </c>
    </row>
    <row r="95" spans="1:8" x14ac:dyDescent="0.25">
      <c r="A95" t="s">
        <v>137</v>
      </c>
      <c r="B95" s="12">
        <v>757</v>
      </c>
      <c r="C95" s="12">
        <f>757/3*2</f>
        <v>504.66666666666669</v>
      </c>
      <c r="D95" s="12">
        <f>757/3</f>
        <v>252.33333333333334</v>
      </c>
      <c r="E95" s="12">
        <f>SUM(C95:D95)</f>
        <v>757</v>
      </c>
      <c r="G95" s="16"/>
    </row>
    <row r="96" spans="1:8" ht="15.75" thickBot="1" x14ac:dyDescent="0.3">
      <c r="B96" s="14">
        <f>SUM(B95:B95)</f>
        <v>757</v>
      </c>
      <c r="C96" s="14">
        <f>SUM(C95:C95)</f>
        <v>504.66666666666669</v>
      </c>
      <c r="D96" s="14">
        <f>SUM(D95:D95)</f>
        <v>252.33333333333334</v>
      </c>
      <c r="E96" s="14">
        <f>SUM(C96:D96)</f>
        <v>757</v>
      </c>
      <c r="G96" s="24">
        <f>E96</f>
        <v>757</v>
      </c>
      <c r="H96" s="23">
        <v>41018</v>
      </c>
    </row>
    <row r="97" spans="1:8" ht="15.75" thickTop="1" x14ac:dyDescent="0.25">
      <c r="B97" s="12"/>
      <c r="C97" s="12"/>
      <c r="D97" s="12"/>
      <c r="E97" s="12"/>
      <c r="G97" s="24"/>
    </row>
    <row r="98" spans="1:8" x14ac:dyDescent="0.25">
      <c r="A98" s="50" t="s">
        <v>174</v>
      </c>
      <c r="B98" s="51"/>
      <c r="C98" s="51"/>
      <c r="D98" s="51"/>
      <c r="E98" s="52"/>
    </row>
    <row r="99" spans="1:8" x14ac:dyDescent="0.25">
      <c r="A99" s="1" t="s">
        <v>1</v>
      </c>
      <c r="B99" s="7" t="s">
        <v>42</v>
      </c>
      <c r="C99" s="15" t="s">
        <v>25</v>
      </c>
      <c r="D99" s="15" t="s">
        <v>26</v>
      </c>
      <c r="E99" s="7" t="s">
        <v>24</v>
      </c>
    </row>
    <row r="100" spans="1:8" x14ac:dyDescent="0.25">
      <c r="A100" t="s">
        <v>175</v>
      </c>
      <c r="B100" s="12">
        <v>44</v>
      </c>
      <c r="C100" s="12">
        <v>44</v>
      </c>
      <c r="D100" s="12">
        <v>0</v>
      </c>
      <c r="E100" s="12">
        <f>SUM(C100:D100)</f>
        <v>44</v>
      </c>
      <c r="G100" s="16"/>
    </row>
    <row r="101" spans="1:8" x14ac:dyDescent="0.25">
      <c r="A101" t="s">
        <v>41</v>
      </c>
      <c r="B101" s="13">
        <v>13</v>
      </c>
      <c r="C101" s="13">
        <v>13</v>
      </c>
      <c r="D101" s="13">
        <v>0</v>
      </c>
      <c r="E101" s="13">
        <f>SUM(C101:D101)</f>
        <v>13</v>
      </c>
      <c r="G101" s="24"/>
    </row>
    <row r="102" spans="1:8" ht="15.75" thickBot="1" x14ac:dyDescent="0.3">
      <c r="B102" s="14">
        <f>SUM(B100:B101)</f>
        <v>57</v>
      </c>
      <c r="C102" s="14">
        <f>SUM(C100:C101)</f>
        <v>57</v>
      </c>
      <c r="D102" s="14">
        <v>0</v>
      </c>
      <c r="E102" s="14">
        <f>SUM(E100:E101)</f>
        <v>57</v>
      </c>
      <c r="G102" s="24">
        <f>E102</f>
        <v>57</v>
      </c>
      <c r="H102" s="23">
        <v>41025</v>
      </c>
    </row>
    <row r="103" spans="1:8" ht="15.75" thickTop="1" x14ac:dyDescent="0.25">
      <c r="B103" s="21"/>
      <c r="C103" s="21"/>
      <c r="D103" s="21"/>
      <c r="E103" s="21"/>
      <c r="G103" s="24"/>
      <c r="H103" s="23"/>
    </row>
    <row r="104" spans="1:8" x14ac:dyDescent="0.25">
      <c r="A104" s="50" t="s">
        <v>177</v>
      </c>
      <c r="B104" s="51"/>
      <c r="C104" s="51"/>
      <c r="D104" s="51"/>
      <c r="E104" s="52"/>
    </row>
    <row r="105" spans="1:8" x14ac:dyDescent="0.25">
      <c r="A105" s="1" t="s">
        <v>1</v>
      </c>
      <c r="B105" s="7" t="s">
        <v>42</v>
      </c>
      <c r="C105" s="15" t="s">
        <v>25</v>
      </c>
      <c r="D105" s="15" t="s">
        <v>26</v>
      </c>
      <c r="E105" s="7" t="s">
        <v>24</v>
      </c>
    </row>
    <row r="106" spans="1:8" ht="15.75" thickBot="1" x14ac:dyDescent="0.3">
      <c r="A106" t="s">
        <v>113</v>
      </c>
      <c r="B106" s="18"/>
      <c r="C106" s="18">
        <f>8698.75/3*2</f>
        <v>5799.166666666667</v>
      </c>
      <c r="D106" s="18">
        <f>8698.75/3</f>
        <v>2899.5833333333335</v>
      </c>
      <c r="E106" s="18">
        <f>SUM(C106:D106)</f>
        <v>8698.75</v>
      </c>
      <c r="G106" s="24">
        <f>E106</f>
        <v>8698.75</v>
      </c>
      <c r="H106" s="23">
        <v>41025</v>
      </c>
    </row>
    <row r="107" spans="1:8" ht="15.75" thickTop="1" x14ac:dyDescent="0.25">
      <c r="B107" s="21"/>
      <c r="C107" s="21"/>
      <c r="D107" s="21"/>
      <c r="E107" s="21"/>
      <c r="G107" s="24"/>
      <c r="H107" s="23"/>
    </row>
    <row r="108" spans="1:8" x14ac:dyDescent="0.25">
      <c r="A108" s="50" t="s">
        <v>182</v>
      </c>
      <c r="B108" s="51"/>
      <c r="C108" s="51"/>
      <c r="D108" s="51"/>
      <c r="E108" s="52"/>
    </row>
    <row r="109" spans="1:8" x14ac:dyDescent="0.25">
      <c r="A109" s="1" t="s">
        <v>1</v>
      </c>
      <c r="B109" s="7" t="s">
        <v>42</v>
      </c>
      <c r="C109" s="15" t="s">
        <v>25</v>
      </c>
      <c r="D109" s="15" t="s">
        <v>26</v>
      </c>
      <c r="E109" s="7" t="s">
        <v>24</v>
      </c>
    </row>
    <row r="110" spans="1:8" x14ac:dyDescent="0.25">
      <c r="A110" t="s">
        <v>176</v>
      </c>
      <c r="B110" s="12">
        <v>99</v>
      </c>
      <c r="C110" s="12">
        <f>4.95*15</f>
        <v>74.25</v>
      </c>
      <c r="D110" s="12">
        <f>4.95*5</f>
        <v>24.75</v>
      </c>
      <c r="E110" s="12">
        <f>SUM(C110:D110)</f>
        <v>99</v>
      </c>
    </row>
    <row r="111" spans="1:8" ht="15.75" thickBot="1" x14ac:dyDescent="0.3">
      <c r="B111" s="14">
        <f>SUM(B110:B110)</f>
        <v>99</v>
      </c>
      <c r="C111" s="14">
        <f>SUM(C110:C110)</f>
        <v>74.25</v>
      </c>
      <c r="D111" s="14">
        <f>SUM(D110:D110)</f>
        <v>24.75</v>
      </c>
      <c r="E111" s="14">
        <f>SUM(C111:D111)</f>
        <v>99</v>
      </c>
      <c r="G111" s="24">
        <f>E110</f>
        <v>99</v>
      </c>
      <c r="H111" s="23">
        <v>41025</v>
      </c>
    </row>
    <row r="112" spans="1:8" ht="15.75" thickTop="1" x14ac:dyDescent="0.25">
      <c r="A112" s="1" t="s">
        <v>199</v>
      </c>
      <c r="B112" s="21"/>
      <c r="C112" s="21"/>
      <c r="D112" s="21"/>
      <c r="E112" s="21"/>
      <c r="G112" s="24"/>
      <c r="H112" s="23"/>
    </row>
    <row r="113" spans="1:8" x14ac:dyDescent="0.25">
      <c r="A113" s="1"/>
      <c r="B113" s="21"/>
      <c r="C113" s="21"/>
      <c r="D113" s="21"/>
      <c r="E113" s="21"/>
      <c r="G113" s="24"/>
      <c r="H113" s="23"/>
    </row>
    <row r="114" spans="1:8" x14ac:dyDescent="0.25">
      <c r="A114" s="50" t="s">
        <v>184</v>
      </c>
      <c r="B114" s="51"/>
      <c r="C114" s="51"/>
      <c r="D114" s="51"/>
      <c r="E114" s="52"/>
    </row>
    <row r="115" spans="1:8" x14ac:dyDescent="0.25">
      <c r="A115" s="1" t="s">
        <v>1</v>
      </c>
      <c r="B115" s="7" t="s">
        <v>42</v>
      </c>
      <c r="C115" s="15" t="s">
        <v>25</v>
      </c>
      <c r="D115" s="15" t="s">
        <v>26</v>
      </c>
      <c r="E115" s="7" t="s">
        <v>24</v>
      </c>
    </row>
    <row r="116" spans="1:8" ht="18" thickBot="1" x14ac:dyDescent="0.3">
      <c r="A116" t="s">
        <v>187</v>
      </c>
      <c r="B116" s="18"/>
      <c r="C116" s="18">
        <v>-1934.67</v>
      </c>
      <c r="D116" s="18">
        <v>-967.33</v>
      </c>
      <c r="E116" s="18">
        <f>SUM(C116:D116)</f>
        <v>-2902</v>
      </c>
      <c r="G116" s="24">
        <f>E116</f>
        <v>-2902</v>
      </c>
      <c r="H116" s="23"/>
    </row>
    <row r="117" spans="1:8" ht="15.75" thickTop="1" x14ac:dyDescent="0.25">
      <c r="A117" t="s">
        <v>192</v>
      </c>
      <c r="B117" s="21"/>
      <c r="C117" s="21"/>
      <c r="D117" s="21"/>
      <c r="E117" s="21"/>
      <c r="G117" s="24"/>
      <c r="H117" s="23"/>
    </row>
    <row r="118" spans="1:8" x14ac:dyDescent="0.25">
      <c r="A118" t="s">
        <v>193</v>
      </c>
      <c r="B118" s="21"/>
      <c r="C118" s="21"/>
      <c r="D118" s="21"/>
      <c r="E118" s="21"/>
      <c r="G118" s="24"/>
      <c r="H118" s="23"/>
    </row>
    <row r="119" spans="1:8" x14ac:dyDescent="0.25">
      <c r="B119" s="21"/>
      <c r="C119" s="21"/>
      <c r="D119" s="21"/>
      <c r="E119" s="21"/>
      <c r="G119" s="24"/>
      <c r="H119" s="23"/>
    </row>
    <row r="120" spans="1:8" x14ac:dyDescent="0.25">
      <c r="A120" s="50" t="s">
        <v>185</v>
      </c>
      <c r="B120" s="51"/>
      <c r="C120" s="51"/>
      <c r="D120" s="51"/>
      <c r="E120" s="52"/>
    </row>
    <row r="121" spans="1:8" x14ac:dyDescent="0.25">
      <c r="A121" s="1" t="s">
        <v>1</v>
      </c>
      <c r="B121" s="7" t="s">
        <v>42</v>
      </c>
      <c r="C121" s="15" t="s">
        <v>25</v>
      </c>
      <c r="D121" s="15" t="s">
        <v>26</v>
      </c>
      <c r="E121" s="7" t="s">
        <v>24</v>
      </c>
    </row>
    <row r="122" spans="1:8" ht="18" thickBot="1" x14ac:dyDescent="0.3">
      <c r="A122" t="s">
        <v>186</v>
      </c>
      <c r="B122" s="18"/>
      <c r="C122" s="18">
        <v>-2812.42</v>
      </c>
      <c r="D122" s="18">
        <v>-1406.21</v>
      </c>
      <c r="E122" s="18">
        <f>SUM(C122:D122)</f>
        <v>-4218.63</v>
      </c>
      <c r="F122" s="16">
        <f>SUM(C122:E122)</f>
        <v>-8437.26</v>
      </c>
      <c r="G122" s="24">
        <f>E122</f>
        <v>-4218.63</v>
      </c>
      <c r="H122" s="23"/>
    </row>
    <row r="123" spans="1:8" ht="15.75" thickTop="1" x14ac:dyDescent="0.25">
      <c r="A123" t="s">
        <v>194</v>
      </c>
      <c r="B123" s="21"/>
      <c r="C123" s="21"/>
      <c r="D123" s="21"/>
      <c r="E123" s="21"/>
      <c r="F123" s="16"/>
      <c r="G123" s="24"/>
      <c r="H123" s="23"/>
    </row>
    <row r="124" spans="1:8" x14ac:dyDescent="0.25">
      <c r="A124" t="s">
        <v>195</v>
      </c>
      <c r="B124" s="21"/>
      <c r="C124" s="21"/>
      <c r="D124" s="21"/>
      <c r="E124" s="21"/>
      <c r="F124" s="16"/>
      <c r="G124" s="24"/>
      <c r="H124" s="23"/>
    </row>
    <row r="125" spans="1:8" x14ac:dyDescent="0.25">
      <c r="B125" s="21"/>
      <c r="C125" s="21"/>
      <c r="D125" s="21"/>
      <c r="E125" s="21"/>
      <c r="F125" s="16"/>
      <c r="G125" s="24"/>
      <c r="H125" s="23"/>
    </row>
    <row r="126" spans="1:8" x14ac:dyDescent="0.25">
      <c r="A126" s="50" t="s">
        <v>197</v>
      </c>
      <c r="B126" s="51"/>
      <c r="C126" s="51"/>
      <c r="D126" s="51"/>
      <c r="E126" s="52"/>
    </row>
    <row r="127" spans="1:8" x14ac:dyDescent="0.25">
      <c r="A127" s="1" t="s">
        <v>1</v>
      </c>
      <c r="B127" s="7" t="s">
        <v>42</v>
      </c>
      <c r="C127" s="15" t="s">
        <v>25</v>
      </c>
      <c r="D127" s="15" t="s">
        <v>26</v>
      </c>
      <c r="E127" s="7" t="s">
        <v>24</v>
      </c>
    </row>
    <row r="128" spans="1:8" x14ac:dyDescent="0.25">
      <c r="A128" t="s">
        <v>200</v>
      </c>
      <c r="B128" s="12"/>
      <c r="C128" s="12">
        <v>9.9499999999999993</v>
      </c>
      <c r="D128" s="17" t="s">
        <v>160</v>
      </c>
      <c r="E128" s="12">
        <f>SUM(C128:D128)</f>
        <v>9.9499999999999993</v>
      </c>
      <c r="G128" s="24"/>
      <c r="H128" s="23"/>
    </row>
    <row r="129" spans="1:8" x14ac:dyDescent="0.25">
      <c r="A129" t="s">
        <v>139</v>
      </c>
      <c r="B129" s="12"/>
      <c r="C129" s="12">
        <v>6</v>
      </c>
      <c r="D129" s="17" t="s">
        <v>160</v>
      </c>
      <c r="E129" s="12">
        <f>SUM(C129:D129)</f>
        <v>6</v>
      </c>
      <c r="G129" s="24"/>
      <c r="H129" s="23"/>
    </row>
    <row r="130" spans="1:8" ht="15.75" thickBot="1" x14ac:dyDescent="0.3">
      <c r="B130" s="14">
        <f>SUM(B128:B128)</f>
        <v>0</v>
      </c>
      <c r="C130" s="14">
        <f>SUM(C128:C129)</f>
        <v>15.95</v>
      </c>
      <c r="D130" s="43">
        <f>SUM(D128:D129)</f>
        <v>0</v>
      </c>
      <c r="E130" s="14">
        <f>SUM(E128:E129)</f>
        <v>15.95</v>
      </c>
      <c r="G130" s="24">
        <f>E130</f>
        <v>15.95</v>
      </c>
      <c r="H130" s="23">
        <v>41039</v>
      </c>
    </row>
    <row r="131" spans="1:8" ht="15.75" thickTop="1" x14ac:dyDescent="0.25">
      <c r="B131" s="21"/>
      <c r="C131" s="21"/>
      <c r="D131" s="21"/>
      <c r="E131" s="21"/>
      <c r="G131" s="24"/>
      <c r="H131" s="23"/>
    </row>
    <row r="132" spans="1:8" x14ac:dyDescent="0.25">
      <c r="A132" s="50" t="s">
        <v>198</v>
      </c>
      <c r="B132" s="51"/>
      <c r="C132" s="51"/>
      <c r="D132" s="51"/>
      <c r="E132" s="52"/>
    </row>
    <row r="133" spans="1:8" x14ac:dyDescent="0.25">
      <c r="A133" s="1" t="s">
        <v>1</v>
      </c>
      <c r="B133" s="7" t="s">
        <v>42</v>
      </c>
      <c r="C133" s="15" t="s">
        <v>25</v>
      </c>
      <c r="D133" s="15" t="s">
        <v>26</v>
      </c>
      <c r="E133" s="7" t="s">
        <v>24</v>
      </c>
    </row>
    <row r="134" spans="1:8" x14ac:dyDescent="0.25">
      <c r="A134" t="s">
        <v>201</v>
      </c>
      <c r="B134" s="12"/>
      <c r="C134" s="12">
        <f>9.95*14</f>
        <v>139.29999999999998</v>
      </c>
      <c r="D134" s="17">
        <f>9.95*5</f>
        <v>49.75</v>
      </c>
      <c r="E134" s="12">
        <f>SUM(C134:D134)</f>
        <v>189.04999999999998</v>
      </c>
      <c r="G134" s="24"/>
      <c r="H134" s="23"/>
    </row>
    <row r="135" spans="1:8" x14ac:dyDescent="0.25">
      <c r="A135" t="s">
        <v>139</v>
      </c>
      <c r="B135" s="12"/>
      <c r="C135" s="12">
        <f>19/3*2</f>
        <v>12.666666666666666</v>
      </c>
      <c r="D135" s="17">
        <f>19/3</f>
        <v>6.333333333333333</v>
      </c>
      <c r="E135" s="12">
        <f>SUM(C135:D135)</f>
        <v>19</v>
      </c>
      <c r="G135" s="24"/>
      <c r="H135" s="23"/>
    </row>
    <row r="136" spans="1:8" ht="15.75" thickBot="1" x14ac:dyDescent="0.3">
      <c r="B136" s="14">
        <f>SUM(B134:B134)</f>
        <v>0</v>
      </c>
      <c r="C136" s="14">
        <f>SUM(C134:C135)</f>
        <v>151.96666666666664</v>
      </c>
      <c r="D136" s="14">
        <f>SUM(D134:D134)</f>
        <v>49.75</v>
      </c>
      <c r="E136" s="14">
        <f>SUM(E134:E135)</f>
        <v>208.04999999999998</v>
      </c>
      <c r="G136" s="24">
        <f>E136</f>
        <v>208.04999999999998</v>
      </c>
      <c r="H136" s="23">
        <v>41039</v>
      </c>
    </row>
    <row r="137" spans="1:8" ht="15.75" thickTop="1" x14ac:dyDescent="0.25">
      <c r="B137" s="21"/>
      <c r="C137" s="21"/>
      <c r="D137" s="21"/>
      <c r="E137" s="21"/>
      <c r="G137" s="24"/>
      <c r="H137" s="23"/>
    </row>
    <row r="138" spans="1:8" x14ac:dyDescent="0.25">
      <c r="B138" s="21"/>
      <c r="C138" s="21"/>
      <c r="D138" s="21"/>
      <c r="E138" s="21"/>
      <c r="G138" s="24"/>
      <c r="H138" s="23"/>
    </row>
    <row r="139" spans="1:8" x14ac:dyDescent="0.25">
      <c r="B139" s="21"/>
      <c r="C139" s="21"/>
      <c r="D139" s="21"/>
      <c r="E139" s="21"/>
      <c r="G139" s="24"/>
      <c r="H139" s="23"/>
    </row>
    <row r="140" spans="1:8" x14ac:dyDescent="0.25">
      <c r="B140" s="21"/>
      <c r="C140" s="21"/>
      <c r="D140" s="21"/>
      <c r="E140" s="21"/>
      <c r="G140" s="24"/>
      <c r="H140" s="23"/>
    </row>
    <row r="141" spans="1:8" x14ac:dyDescent="0.25">
      <c r="A141" s="50" t="s">
        <v>196</v>
      </c>
      <c r="B141" s="51"/>
      <c r="C141" s="51"/>
      <c r="D141" s="51"/>
      <c r="E141" s="52"/>
    </row>
    <row r="142" spans="1:8" x14ac:dyDescent="0.25">
      <c r="A142" s="1" t="s">
        <v>1</v>
      </c>
      <c r="B142" s="7" t="s">
        <v>42</v>
      </c>
      <c r="C142" s="15" t="s">
        <v>25</v>
      </c>
      <c r="D142" s="15" t="s">
        <v>26</v>
      </c>
      <c r="E142" s="7" t="s">
        <v>24</v>
      </c>
    </row>
    <row r="143" spans="1:8" x14ac:dyDescent="0.25">
      <c r="A143" t="s">
        <v>113</v>
      </c>
      <c r="B143" s="12"/>
      <c r="C143" s="12">
        <f>72.5/3*2</f>
        <v>48.333333333333336</v>
      </c>
      <c r="D143" s="12">
        <f>72.5/3</f>
        <v>24.166666666666668</v>
      </c>
      <c r="E143" s="12">
        <f>SUM(C143:D143)</f>
        <v>72.5</v>
      </c>
      <c r="G143" s="16"/>
    </row>
    <row r="144" spans="1:8" x14ac:dyDescent="0.25">
      <c r="A144" t="s">
        <v>111</v>
      </c>
      <c r="B144" s="13"/>
      <c r="C144" s="13">
        <f>536.25/3*2</f>
        <v>357.5</v>
      </c>
      <c r="D144" s="13">
        <f>536.25/3</f>
        <v>178.75</v>
      </c>
      <c r="E144" s="13">
        <f>SUM(C144:D144)</f>
        <v>536.25</v>
      </c>
      <c r="G144" s="24"/>
    </row>
    <row r="145" spans="2:8" ht="15.75" thickBot="1" x14ac:dyDescent="0.3">
      <c r="B145" s="14">
        <f>SUM(B143:B144)</f>
        <v>0</v>
      </c>
      <c r="C145" s="14">
        <f>SUM(C143:C144)</f>
        <v>405.83333333333331</v>
      </c>
      <c r="D145" s="14">
        <f>SUM(D143:D144)</f>
        <v>202.91666666666666</v>
      </c>
      <c r="E145" s="14">
        <f>SUM(E143:E144)</f>
        <v>608.75</v>
      </c>
      <c r="G145" s="20">
        <f>E145</f>
        <v>608.75</v>
      </c>
      <c r="H145" s="23">
        <v>41039</v>
      </c>
    </row>
    <row r="146" spans="2:8" ht="15.75" thickTop="1" x14ac:dyDescent="0.25"/>
    <row r="147" spans="2:8" ht="15.75" thickBot="1" x14ac:dyDescent="0.3">
      <c r="B147" s="12"/>
      <c r="C147" s="44"/>
      <c r="D147" s="44"/>
      <c r="E147" s="44"/>
      <c r="G147" s="19">
        <f>SUM(G19:G145)</f>
        <v>51267.903333333343</v>
      </c>
      <c r="H147" s="45"/>
    </row>
    <row r="148" spans="2:8" ht="15.75" thickTop="1" x14ac:dyDescent="0.25">
      <c r="B148" s="12"/>
      <c r="C148" s="21"/>
      <c r="E148" s="12"/>
      <c r="G148" s="24"/>
    </row>
    <row r="149" spans="2:8" x14ac:dyDescent="0.25">
      <c r="C149" s="7" t="s">
        <v>25</v>
      </c>
      <c r="D149" s="7" t="s">
        <v>26</v>
      </c>
      <c r="E149" s="7" t="s">
        <v>51</v>
      </c>
    </row>
    <row r="150" spans="2:8" ht="15.75" thickBot="1" x14ac:dyDescent="0.3">
      <c r="C150" s="19">
        <f>SUM(C19+C26+C32+C39+C46+C58+C65+C69+C50+C81+C85+C91+C96+C102+C106+C111+C116+C122+C145+C136+C130)</f>
        <v>37116.356666666667</v>
      </c>
      <c r="D150" s="19">
        <f>SUM(D19+D26+D32+D39+D46+D58+D65+D69+D50+D81+D85+D91+D96+D102+D106+D111+D116+D122+D145+D130+D136)</f>
        <v>14145.213333333335</v>
      </c>
      <c r="E150" s="19">
        <f>SUM(C150:D150)</f>
        <v>51261.57</v>
      </c>
    </row>
    <row r="151" spans="2:8" ht="15.75" thickTop="1" x14ac:dyDescent="0.25">
      <c r="C151" s="12"/>
    </row>
  </sheetData>
  <mergeCells count="22">
    <mergeCell ref="A1:E1"/>
    <mergeCell ref="A24:E24"/>
    <mergeCell ref="A30:E30"/>
    <mergeCell ref="A34:E34"/>
    <mergeCell ref="A74:E74"/>
    <mergeCell ref="A71:E71"/>
    <mergeCell ref="A41:E41"/>
    <mergeCell ref="A67:E67"/>
    <mergeCell ref="A48:E48"/>
    <mergeCell ref="A52:E52"/>
    <mergeCell ref="A60:E60"/>
    <mergeCell ref="A141:E141"/>
    <mergeCell ref="A83:E83"/>
    <mergeCell ref="A87:E87"/>
    <mergeCell ref="A104:E104"/>
    <mergeCell ref="A114:E114"/>
    <mergeCell ref="A120:E120"/>
    <mergeCell ref="A98:E98"/>
    <mergeCell ref="A108:E108"/>
    <mergeCell ref="A93:E93"/>
    <mergeCell ref="A126:E126"/>
    <mergeCell ref="A132:E132"/>
  </mergeCells>
  <pageMargins left="0.45" right="0.45" top="0.5" bottom="0.5" header="0.3" footer="0.3"/>
  <pageSetup orientation="portrait" r:id="rId1"/>
  <headerFooter>
    <oddFooter>&amp;L&amp;Z&amp;F&amp;A&amp;RUpdated 5/10/12</oddFooter>
  </headerFooter>
  <rowBreaks count="2" manualBreakCount="2">
    <brk id="47" max="16383" man="1"/>
    <brk id="92" max="16383" man="1"/>
  </rowBreaks>
  <ignoredErrors>
    <ignoredError sqref="E26 E32 E62:E64 E100:E101 E110" formulaRange="1"/>
    <ignoredError sqref="C79:D79 C130 C136:D13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1"/>
  <sheetViews>
    <sheetView tabSelected="1" topLeftCell="A25" zoomScaleNormal="100" workbookViewId="0">
      <selection activeCell="J31" sqref="J31"/>
    </sheetView>
  </sheetViews>
  <sheetFormatPr defaultRowHeight="15" x14ac:dyDescent="0.25"/>
  <cols>
    <col min="1" max="1" width="21.28515625" customWidth="1"/>
    <col min="2" max="2" width="10.7109375" customWidth="1"/>
    <col min="3" max="3" width="15.85546875" bestFit="1" customWidth="1"/>
    <col min="4" max="4" width="4" customWidth="1"/>
    <col min="5" max="5" width="15.5703125" bestFit="1" customWidth="1"/>
    <col min="6" max="6" width="12" customWidth="1"/>
    <col min="7" max="7" width="2" customWidth="1"/>
    <col min="8" max="8" width="9.140625" customWidth="1"/>
    <col min="9" max="9" width="12" bestFit="1" customWidth="1"/>
    <col min="10" max="10" width="3.7109375" bestFit="1" customWidth="1"/>
    <col min="11" max="11" width="14.7109375" bestFit="1" customWidth="1"/>
    <col min="12" max="12" width="7.7109375" customWidth="1"/>
    <col min="13" max="13" width="13" customWidth="1"/>
    <col min="14" max="14" width="7.7109375" bestFit="1" customWidth="1"/>
  </cols>
  <sheetData>
    <row r="1" spans="1:8" x14ac:dyDescent="0.25">
      <c r="A1" s="50" t="s">
        <v>81</v>
      </c>
      <c r="B1" s="51"/>
      <c r="C1" s="51"/>
      <c r="D1" s="51"/>
      <c r="E1" s="51"/>
      <c r="F1" s="52"/>
    </row>
    <row r="2" spans="1:8" s="1" customFormat="1" x14ac:dyDescent="0.25">
      <c r="A2" s="1" t="s">
        <v>1</v>
      </c>
      <c r="B2" s="7" t="s">
        <v>42</v>
      </c>
      <c r="C2" s="15" t="s">
        <v>25</v>
      </c>
      <c r="D2" s="15"/>
      <c r="E2" s="15" t="s">
        <v>26</v>
      </c>
      <c r="F2" s="7" t="s">
        <v>24</v>
      </c>
      <c r="G2" s="7"/>
      <c r="H2" s="8" t="s">
        <v>24</v>
      </c>
    </row>
    <row r="3" spans="1:8" x14ac:dyDescent="0.25">
      <c r="A3" t="s">
        <v>27</v>
      </c>
      <c r="B3" s="12">
        <v>3499.87</v>
      </c>
      <c r="C3" s="12">
        <v>2333.25</v>
      </c>
      <c r="D3" s="12"/>
      <c r="E3" s="12">
        <v>1166.6199999999999</v>
      </c>
      <c r="F3" s="12">
        <v>3499.87</v>
      </c>
    </row>
    <row r="4" spans="1:8" x14ac:dyDescent="0.25">
      <c r="A4" t="s">
        <v>28</v>
      </c>
      <c r="B4" s="12">
        <v>332.82</v>
      </c>
      <c r="C4" s="12">
        <v>221.88</v>
      </c>
      <c r="D4" s="12"/>
      <c r="E4" s="12">
        <v>110.94</v>
      </c>
      <c r="F4" s="12">
        <v>332.82</v>
      </c>
    </row>
    <row r="5" spans="1:8" x14ac:dyDescent="0.25">
      <c r="A5" t="s">
        <v>29</v>
      </c>
      <c r="B5" s="12">
        <v>10974.08</v>
      </c>
      <c r="C5" s="12">
        <v>8916.44</v>
      </c>
      <c r="D5" s="12"/>
      <c r="E5" s="12">
        <v>2057.64</v>
      </c>
      <c r="F5" s="12">
        <v>10974.08</v>
      </c>
    </row>
    <row r="6" spans="1:8" x14ac:dyDescent="0.25">
      <c r="A6" t="s">
        <v>30</v>
      </c>
      <c r="B6" s="12">
        <v>497.82</v>
      </c>
      <c r="C6" s="12">
        <v>497.82</v>
      </c>
      <c r="D6" s="12"/>
      <c r="E6" s="17" t="s">
        <v>31</v>
      </c>
      <c r="F6" s="12">
        <v>497.82</v>
      </c>
    </row>
    <row r="7" spans="1:8" x14ac:dyDescent="0.25">
      <c r="A7" t="s">
        <v>32</v>
      </c>
      <c r="B7" s="12">
        <v>904.14</v>
      </c>
      <c r="C7" s="12">
        <v>904.14</v>
      </c>
      <c r="D7" s="12"/>
      <c r="E7" s="17" t="s">
        <v>31</v>
      </c>
      <c r="F7" s="12">
        <v>904.14</v>
      </c>
    </row>
    <row r="8" spans="1:8" x14ac:dyDescent="0.25">
      <c r="A8" t="s">
        <v>33</v>
      </c>
      <c r="B8" s="12">
        <v>955.06</v>
      </c>
      <c r="C8" s="12">
        <v>955.06</v>
      </c>
      <c r="D8" s="12"/>
      <c r="E8" s="17" t="s">
        <v>31</v>
      </c>
      <c r="F8" s="12">
        <v>955.06</v>
      </c>
    </row>
    <row r="9" spans="1:8" x14ac:dyDescent="0.25">
      <c r="A9" t="s">
        <v>34</v>
      </c>
      <c r="B9" s="12">
        <v>258.13</v>
      </c>
      <c r="C9" s="12">
        <v>258.13</v>
      </c>
      <c r="D9" s="12"/>
      <c r="E9" s="17" t="s">
        <v>31</v>
      </c>
      <c r="F9" s="12">
        <v>258.13</v>
      </c>
    </row>
    <row r="10" spans="1:8" x14ac:dyDescent="0.25">
      <c r="A10" t="s">
        <v>35</v>
      </c>
      <c r="B10" s="12">
        <v>412.94</v>
      </c>
      <c r="C10" s="12">
        <v>412.94</v>
      </c>
      <c r="D10" s="12"/>
      <c r="E10" s="17" t="s">
        <v>31</v>
      </c>
      <c r="F10" s="12">
        <v>412.94</v>
      </c>
    </row>
    <row r="11" spans="1:8" x14ac:dyDescent="0.25">
      <c r="A11" t="s">
        <v>36</v>
      </c>
      <c r="B11" s="12">
        <v>291.31</v>
      </c>
      <c r="C11" s="12">
        <v>291.31</v>
      </c>
      <c r="D11" s="12"/>
      <c r="E11" s="17" t="s">
        <v>31</v>
      </c>
      <c r="F11" s="12">
        <v>291.31</v>
      </c>
    </row>
    <row r="12" spans="1:8" x14ac:dyDescent="0.25">
      <c r="A12" t="s">
        <v>37</v>
      </c>
      <c r="B12" s="12">
        <v>29.34</v>
      </c>
      <c r="C12" s="12">
        <v>29.34</v>
      </c>
      <c r="D12" s="12"/>
      <c r="E12" s="17" t="s">
        <v>31</v>
      </c>
      <c r="F12" s="12">
        <v>29.34</v>
      </c>
    </row>
    <row r="13" spans="1:8" x14ac:dyDescent="0.25">
      <c r="A13" t="s">
        <v>38</v>
      </c>
      <c r="B13" s="12">
        <v>8.5</v>
      </c>
      <c r="C13" s="12">
        <v>8.5</v>
      </c>
      <c r="D13" s="12"/>
      <c r="E13" s="17" t="s">
        <v>31</v>
      </c>
      <c r="F13" s="12">
        <v>8.5</v>
      </c>
    </row>
    <row r="14" spans="1:8" x14ac:dyDescent="0.25">
      <c r="A14" t="s">
        <v>39</v>
      </c>
      <c r="B14" s="12">
        <v>37.4</v>
      </c>
      <c r="C14" s="12">
        <v>37.4</v>
      </c>
      <c r="D14" s="12"/>
      <c r="E14" s="17" t="s">
        <v>31</v>
      </c>
      <c r="F14" s="12">
        <v>37.4</v>
      </c>
    </row>
    <row r="15" spans="1:8" x14ac:dyDescent="0.25">
      <c r="A15" t="s">
        <v>101</v>
      </c>
      <c r="B15" s="12">
        <v>2571.61</v>
      </c>
      <c r="C15" s="12">
        <v>1714.41</v>
      </c>
      <c r="D15" s="12"/>
      <c r="E15" s="12">
        <v>857.2</v>
      </c>
      <c r="F15" s="12">
        <v>2571.61</v>
      </c>
    </row>
    <row r="16" spans="1:8" ht="17.25" x14ac:dyDescent="0.25">
      <c r="A16" t="s">
        <v>186</v>
      </c>
      <c r="B16" s="12">
        <v>4218.63</v>
      </c>
      <c r="C16" s="12">
        <v>2812.42</v>
      </c>
      <c r="D16" s="12"/>
      <c r="E16" s="12">
        <v>1406.21</v>
      </c>
      <c r="F16" s="12">
        <v>4218.63</v>
      </c>
    </row>
    <row r="17" spans="1:13" x14ac:dyDescent="0.25">
      <c r="A17" t="s">
        <v>40</v>
      </c>
      <c r="B17" s="12">
        <v>195</v>
      </c>
      <c r="C17" s="12">
        <v>195</v>
      </c>
      <c r="D17" s="12"/>
      <c r="E17" s="17" t="s">
        <v>31</v>
      </c>
      <c r="F17" s="12">
        <v>195</v>
      </c>
    </row>
    <row r="18" spans="1:13" ht="17.25" x14ac:dyDescent="0.25">
      <c r="A18" t="s">
        <v>102</v>
      </c>
      <c r="B18" s="13">
        <v>93</v>
      </c>
      <c r="C18" s="47">
        <f>94/3*2</f>
        <v>62.666666666666664</v>
      </c>
      <c r="D18" s="47"/>
      <c r="E18" s="13">
        <f>94/3</f>
        <v>31.333333333333332</v>
      </c>
      <c r="F18" s="13">
        <f>SUM(C18:E18)</f>
        <v>94</v>
      </c>
      <c r="I18" s="46">
        <f>94/3</f>
        <v>31.333333333333332</v>
      </c>
      <c r="J18" s="46"/>
      <c r="K18">
        <f>31.33333333*2</f>
        <v>62.666666659999997</v>
      </c>
      <c r="M18">
        <f>SUM(I18:K18)</f>
        <v>93.999999993333333</v>
      </c>
    </row>
    <row r="19" spans="1:13" ht="15.75" thickBot="1" x14ac:dyDescent="0.3">
      <c r="B19" s="14">
        <f>SUM(B3:B18)</f>
        <v>25279.650000000005</v>
      </c>
      <c r="C19" s="14">
        <f>SUM(C3:C18)</f>
        <v>19650.706666666669</v>
      </c>
      <c r="D19" s="14"/>
      <c r="E19" s="14">
        <f>SUM(E3:E18)</f>
        <v>5629.9433333333327</v>
      </c>
      <c r="F19" s="14">
        <f>SUM(F3:F18)</f>
        <v>25280.650000000005</v>
      </c>
      <c r="H19" s="24">
        <f>F19</f>
        <v>25280.650000000005</v>
      </c>
    </row>
    <row r="20" spans="1:13" ht="15.75" thickTop="1" x14ac:dyDescent="0.25">
      <c r="A20" t="s">
        <v>188</v>
      </c>
      <c r="B20" s="21"/>
      <c r="C20" s="21"/>
      <c r="D20" s="21"/>
      <c r="E20" s="21"/>
      <c r="F20" s="21"/>
      <c r="H20" s="24"/>
    </row>
    <row r="21" spans="1:13" x14ac:dyDescent="0.25">
      <c r="A21" t="s">
        <v>189</v>
      </c>
      <c r="B21" s="21"/>
      <c r="C21" s="21"/>
      <c r="D21" s="21"/>
      <c r="E21" s="21"/>
      <c r="F21" s="21"/>
      <c r="H21" s="24"/>
    </row>
    <row r="22" spans="1:13" x14ac:dyDescent="0.25">
      <c r="A22" t="s">
        <v>103</v>
      </c>
    </row>
    <row r="24" spans="1:13" x14ac:dyDescent="0.25">
      <c r="A24" s="50" t="s">
        <v>45</v>
      </c>
      <c r="B24" s="51"/>
      <c r="C24" s="51"/>
      <c r="D24" s="51"/>
      <c r="E24" s="51"/>
      <c r="F24" s="52"/>
    </row>
    <row r="25" spans="1:13" x14ac:dyDescent="0.25">
      <c r="A25" s="1" t="s">
        <v>1</v>
      </c>
      <c r="B25" s="7" t="s">
        <v>42</v>
      </c>
      <c r="C25" s="15" t="s">
        <v>25</v>
      </c>
      <c r="D25" s="15"/>
      <c r="E25" s="15" t="s">
        <v>26</v>
      </c>
      <c r="F25" s="7" t="s">
        <v>24</v>
      </c>
    </row>
    <row r="26" spans="1:13" ht="18" thickBot="1" x14ac:dyDescent="0.3">
      <c r="A26" t="s">
        <v>187</v>
      </c>
      <c r="B26" s="18">
        <v>2902</v>
      </c>
      <c r="C26" s="18">
        <v>1934.66</v>
      </c>
      <c r="D26" s="18"/>
      <c r="E26" s="18">
        <v>967.34</v>
      </c>
      <c r="F26" s="18">
        <f>SUM(C26:E26)</f>
        <v>2902</v>
      </c>
      <c r="H26" s="24">
        <f>F26</f>
        <v>2902</v>
      </c>
    </row>
    <row r="27" spans="1:13" ht="15.75" thickTop="1" x14ac:dyDescent="0.25">
      <c r="A27" t="s">
        <v>190</v>
      </c>
      <c r="B27" s="21"/>
      <c r="C27" s="21"/>
      <c r="D27" s="21"/>
      <c r="E27" s="21"/>
      <c r="F27" s="21"/>
      <c r="H27" s="24"/>
    </row>
    <row r="28" spans="1:13" x14ac:dyDescent="0.25">
      <c r="A28" t="s">
        <v>191</v>
      </c>
      <c r="B28" s="21"/>
      <c r="C28" s="21"/>
      <c r="D28" s="21"/>
      <c r="E28" s="21"/>
      <c r="F28" s="21"/>
      <c r="H28" s="24"/>
    </row>
    <row r="30" spans="1:13" x14ac:dyDescent="0.25">
      <c r="A30" s="50" t="s">
        <v>46</v>
      </c>
      <c r="B30" s="51"/>
      <c r="C30" s="51"/>
      <c r="D30" s="51"/>
      <c r="E30" s="51"/>
      <c r="F30" s="52"/>
    </row>
    <row r="31" spans="1:13" x14ac:dyDescent="0.25">
      <c r="A31" s="1" t="s">
        <v>1</v>
      </c>
      <c r="B31" s="7" t="s">
        <v>42</v>
      </c>
      <c r="C31" s="15" t="s">
        <v>25</v>
      </c>
      <c r="D31" s="15"/>
      <c r="E31" s="15" t="s">
        <v>26</v>
      </c>
      <c r="F31" s="7" t="s">
        <v>24</v>
      </c>
    </row>
    <row r="32" spans="1:13" ht="15.75" thickBot="1" x14ac:dyDescent="0.3">
      <c r="A32" t="s">
        <v>47</v>
      </c>
      <c r="B32" s="18">
        <v>1594</v>
      </c>
      <c r="C32" s="18">
        <v>1062.6600000000001</v>
      </c>
      <c r="D32" s="18"/>
      <c r="E32" s="18">
        <v>531.34</v>
      </c>
      <c r="F32" s="18">
        <f>SUM(C32:E32)</f>
        <v>1594</v>
      </c>
      <c r="H32" s="24">
        <f>F32</f>
        <v>1594</v>
      </c>
    </row>
    <row r="33" spans="1:15" ht="15.75" thickTop="1" x14ac:dyDescent="0.25"/>
    <row r="34" spans="1:15" ht="15.75" thickBot="1" x14ac:dyDescent="0.3">
      <c r="A34" s="50" t="s">
        <v>73</v>
      </c>
      <c r="B34" s="51"/>
      <c r="C34" s="53"/>
      <c r="D34" s="53"/>
      <c r="E34" s="53"/>
      <c r="F34" s="54"/>
    </row>
    <row r="35" spans="1:15" ht="15.75" customHeight="1" thickBot="1" x14ac:dyDescent="0.3">
      <c r="A35" s="1" t="s">
        <v>1</v>
      </c>
      <c r="B35" s="7" t="s">
        <v>42</v>
      </c>
      <c r="C35" s="71" t="s">
        <v>25</v>
      </c>
      <c r="D35" s="86"/>
      <c r="E35" s="72" t="s">
        <v>26</v>
      </c>
      <c r="F35" s="75" t="s">
        <v>24</v>
      </c>
      <c r="G35" s="82" t="s">
        <v>207</v>
      </c>
      <c r="H35" s="92" t="s">
        <v>205</v>
      </c>
      <c r="I35" s="66">
        <f>1552.91/3</f>
        <v>517.63666666666666</v>
      </c>
      <c r="J35" s="67"/>
      <c r="K35" s="68">
        <f>I35*2</f>
        <v>1035.2733333333333</v>
      </c>
      <c r="L35" s="68"/>
      <c r="M35" s="69">
        <f>SUM(I35:K35)</f>
        <v>1552.9099999999999</v>
      </c>
      <c r="N35" s="70"/>
    </row>
    <row r="36" spans="1:15" ht="15" customHeight="1" x14ac:dyDescent="0.25">
      <c r="A36" t="s">
        <v>48</v>
      </c>
      <c r="B36" s="12">
        <v>1552.9</v>
      </c>
      <c r="C36" s="84">
        <f>1552.9/3*2</f>
        <v>1035.2666666666667</v>
      </c>
      <c r="D36" s="88" t="s">
        <v>209</v>
      </c>
      <c r="E36" s="85">
        <v>517.64</v>
      </c>
      <c r="F36" s="76">
        <f>SUM(C36:E36)</f>
        <v>1552.9066666666668</v>
      </c>
      <c r="G36" s="78"/>
      <c r="H36" s="89" t="s">
        <v>206</v>
      </c>
      <c r="I36" s="62">
        <f>1552.91/3</f>
        <v>517.63666666666666</v>
      </c>
      <c r="J36" s="62" t="s">
        <v>203</v>
      </c>
      <c r="K36" s="63">
        <f>I36*2</f>
        <v>1035.2733333333333</v>
      </c>
      <c r="L36" s="63" t="s">
        <v>204</v>
      </c>
      <c r="M36" s="64">
        <f t="shared" ref="M36:M37" si="0">SUM(I36:K36)</f>
        <v>1552.9099999999999</v>
      </c>
      <c r="N36" s="65">
        <f>F36-M36</f>
        <v>-3.333333333102928E-3</v>
      </c>
    </row>
    <row r="37" spans="1:15" x14ac:dyDescent="0.25">
      <c r="A37" t="s">
        <v>49</v>
      </c>
      <c r="B37" s="12">
        <v>1250.06</v>
      </c>
      <c r="C37" s="84">
        <f>1250.06/3*2</f>
        <v>833.37333333333333</v>
      </c>
      <c r="D37" s="88" t="s">
        <v>209</v>
      </c>
      <c r="E37" s="85">
        <f>1250.05/3</f>
        <v>416.68333333333334</v>
      </c>
      <c r="F37" s="76">
        <f>SUM(C37:E37)</f>
        <v>1250.0566666666666</v>
      </c>
      <c r="G37" s="78"/>
      <c r="H37" s="90" t="s">
        <v>206</v>
      </c>
      <c r="I37" s="56">
        <f>1250.06/3</f>
        <v>416.68666666666667</v>
      </c>
      <c r="J37" s="56" t="s">
        <v>203</v>
      </c>
      <c r="K37" s="57">
        <f>I37*2</f>
        <v>833.37333333333333</v>
      </c>
      <c r="L37" s="57" t="s">
        <v>204</v>
      </c>
      <c r="M37" s="59">
        <f t="shared" si="0"/>
        <v>1250.06</v>
      </c>
      <c r="N37" s="55">
        <f>F37-M37</f>
        <v>-3.3333333333303017E-3</v>
      </c>
    </row>
    <row r="38" spans="1:15" x14ac:dyDescent="0.25">
      <c r="A38" t="s">
        <v>50</v>
      </c>
      <c r="B38" s="13">
        <v>3289.52</v>
      </c>
      <c r="C38" s="84">
        <f>3289.52/3*2</f>
        <v>2193.0133333333333</v>
      </c>
      <c r="D38" s="88" t="s">
        <v>209</v>
      </c>
      <c r="E38" s="85">
        <f>3289.52/3</f>
        <v>1096.5066666666667</v>
      </c>
      <c r="F38" s="76">
        <f>SUM(C38:E38)</f>
        <v>3289.52</v>
      </c>
      <c r="G38" s="78"/>
      <c r="H38" s="90" t="s">
        <v>206</v>
      </c>
      <c r="I38" s="56">
        <f>3289.521/3</f>
        <v>1096.5070000000001</v>
      </c>
      <c r="J38" s="56" t="s">
        <v>203</v>
      </c>
      <c r="K38" s="57">
        <f>I38*2</f>
        <v>2193.0140000000001</v>
      </c>
      <c r="L38" s="57" t="s">
        <v>204</v>
      </c>
      <c r="M38" s="59">
        <f>SUM(I38:K38)</f>
        <v>3289.5210000000002</v>
      </c>
      <c r="N38" s="55">
        <f>F38-M38</f>
        <v>-1.0000000002037268E-3</v>
      </c>
    </row>
    <row r="39" spans="1:15" ht="18" thickBot="1" x14ac:dyDescent="0.45">
      <c r="B39" s="14">
        <f>SUM(B36:B38)</f>
        <v>6092.48</v>
      </c>
      <c r="C39" s="73">
        <f>SUM(C36:C38)</f>
        <v>4061.6533333333332</v>
      </c>
      <c r="D39" s="87"/>
      <c r="E39" s="74">
        <f>SUM(E36:E38)</f>
        <v>2030.83</v>
      </c>
      <c r="F39" s="77">
        <f>SUM(F36:F38)</f>
        <v>6092.4833333333336</v>
      </c>
      <c r="G39" s="78"/>
      <c r="H39" s="90" t="s">
        <v>206</v>
      </c>
      <c r="I39" s="60">
        <f>SUM(I36:I38)</f>
        <v>2030.8303333333333</v>
      </c>
      <c r="J39" s="58"/>
      <c r="K39" s="60">
        <f>SUM(K36:K38)</f>
        <v>4061.6606666666667</v>
      </c>
      <c r="L39" s="58"/>
      <c r="M39" s="61">
        <f>SUM(M36:M38)</f>
        <v>6092.491</v>
      </c>
      <c r="N39" s="81">
        <f>F39-M39</f>
        <v>-7.6666666664095828E-3</v>
      </c>
    </row>
    <row r="40" spans="1:15" ht="16.5" thickTop="1" thickBot="1" x14ac:dyDescent="0.3">
      <c r="B40" s="12"/>
      <c r="C40" s="93" t="s">
        <v>210</v>
      </c>
      <c r="D40" s="93"/>
      <c r="E40" s="93"/>
      <c r="F40" s="80">
        <f>M39</f>
        <v>6092.491</v>
      </c>
      <c r="G40" s="79"/>
      <c r="H40" s="91"/>
      <c r="N40" s="11" t="s">
        <v>208</v>
      </c>
    </row>
    <row r="41" spans="1:15" x14ac:dyDescent="0.25">
      <c r="A41" s="50" t="s">
        <v>82</v>
      </c>
      <c r="B41" s="51"/>
      <c r="C41" s="51"/>
      <c r="D41" s="51"/>
      <c r="E41" s="51"/>
      <c r="F41" s="52"/>
    </row>
    <row r="42" spans="1:15" x14ac:dyDescent="0.25">
      <c r="A42" s="1" t="s">
        <v>1</v>
      </c>
      <c r="B42" s="7" t="s">
        <v>42</v>
      </c>
      <c r="C42" s="15" t="s">
        <v>25</v>
      </c>
      <c r="D42" s="15"/>
      <c r="E42" s="15" t="s">
        <v>26</v>
      </c>
      <c r="F42" s="7" t="s">
        <v>24</v>
      </c>
      <c r="I42" s="48"/>
      <c r="J42" s="48"/>
      <c r="K42" s="48"/>
      <c r="L42" s="48"/>
      <c r="M42" s="48"/>
      <c r="N42" s="48"/>
      <c r="O42" s="48"/>
    </row>
    <row r="43" spans="1:15" x14ac:dyDescent="0.25">
      <c r="A43" t="s">
        <v>84</v>
      </c>
      <c r="B43" s="12">
        <v>138.49</v>
      </c>
      <c r="C43" s="12">
        <f>138.49/3*2</f>
        <v>92.326666666666668</v>
      </c>
      <c r="D43" s="12"/>
      <c r="E43" s="12">
        <f>138.49/3</f>
        <v>46.163333333333334</v>
      </c>
      <c r="F43" s="12">
        <f>SUM(C43:E43)</f>
        <v>138.49</v>
      </c>
      <c r="G43" s="16"/>
      <c r="H43" s="16"/>
      <c r="I43" s="48"/>
      <c r="J43" s="48"/>
      <c r="K43" s="48"/>
      <c r="L43" s="48"/>
      <c r="M43" s="48"/>
      <c r="N43" s="49"/>
      <c r="O43" s="48"/>
    </row>
    <row r="44" spans="1:15" x14ac:dyDescent="0.25">
      <c r="A44" t="s">
        <v>83</v>
      </c>
      <c r="B44" s="21">
        <v>710.84</v>
      </c>
      <c r="C44" s="21">
        <f>710.84/3*2</f>
        <v>473.89333333333337</v>
      </c>
      <c r="D44" s="21"/>
      <c r="E44" s="21">
        <f>710.84/3</f>
        <v>236.94666666666669</v>
      </c>
      <c r="F44" s="21">
        <f>SUM(C44:E44)</f>
        <v>710.84</v>
      </c>
      <c r="G44" s="16"/>
      <c r="H44" s="16"/>
      <c r="I44" s="48"/>
      <c r="J44" s="48"/>
      <c r="K44" s="48"/>
      <c r="L44" s="48"/>
      <c r="M44" s="48"/>
      <c r="N44" s="49"/>
      <c r="O44" s="48"/>
    </row>
    <row r="45" spans="1:15" x14ac:dyDescent="0.25">
      <c r="A45" t="s">
        <v>41</v>
      </c>
      <c r="B45" s="12">
        <v>17</v>
      </c>
      <c r="C45" s="12">
        <f>17/3*2</f>
        <v>11.333333333333334</v>
      </c>
      <c r="D45" s="12"/>
      <c r="E45" s="12">
        <f>17/3</f>
        <v>5.666666666666667</v>
      </c>
      <c r="F45" s="16">
        <f>SUM(C45:E45)</f>
        <v>17</v>
      </c>
      <c r="H45" s="24"/>
      <c r="I45" s="83"/>
      <c r="J45" s="48"/>
      <c r="K45" s="48"/>
      <c r="L45" s="48"/>
      <c r="M45" s="48"/>
      <c r="N45" s="49"/>
      <c r="O45" s="48"/>
    </row>
    <row r="46" spans="1:15" ht="15.75" thickBot="1" x14ac:dyDescent="0.3">
      <c r="B46" s="14">
        <f>SUM(B43:B45)</f>
        <v>866.33</v>
      </c>
      <c r="C46" s="14">
        <f>SUM(C43:C45)</f>
        <v>577.5533333333334</v>
      </c>
      <c r="D46" s="14"/>
      <c r="E46" s="14">
        <f>SUM(E43:E45)</f>
        <v>288.7766666666667</v>
      </c>
      <c r="F46" s="14">
        <f>SUM(F43:F45)</f>
        <v>866.33</v>
      </c>
      <c r="H46" s="24">
        <f>F46</f>
        <v>866.33</v>
      </c>
      <c r="I46" s="48"/>
      <c r="J46" s="48"/>
      <c r="K46" s="48"/>
      <c r="L46" s="48"/>
      <c r="M46" s="48"/>
      <c r="N46" s="49"/>
      <c r="O46" s="49"/>
    </row>
    <row r="47" spans="1:15" ht="15.75" thickTop="1" x14ac:dyDescent="0.25">
      <c r="B47" s="34"/>
      <c r="C47" s="34"/>
      <c r="D47" s="34"/>
      <c r="E47" s="34"/>
      <c r="F47" s="34"/>
      <c r="H47" s="24"/>
      <c r="I47" s="48"/>
      <c r="J47" s="48"/>
      <c r="K47" s="48"/>
      <c r="L47" s="48"/>
      <c r="M47" s="48"/>
      <c r="N47" s="49"/>
      <c r="O47" s="48"/>
    </row>
    <row r="48" spans="1:15" x14ac:dyDescent="0.25">
      <c r="A48" s="50" t="s">
        <v>106</v>
      </c>
      <c r="B48" s="51"/>
      <c r="C48" s="51"/>
      <c r="D48" s="51"/>
      <c r="E48" s="51"/>
      <c r="F48" s="52"/>
      <c r="I48" s="48"/>
      <c r="J48" s="48"/>
      <c r="K48" s="48"/>
      <c r="L48" s="48"/>
      <c r="M48" s="48"/>
      <c r="N48" s="49"/>
      <c r="O48" s="48"/>
    </row>
    <row r="49" spans="1:15" x14ac:dyDescent="0.25">
      <c r="A49" s="1" t="s">
        <v>1</v>
      </c>
      <c r="B49" s="7" t="s">
        <v>42</v>
      </c>
      <c r="C49" s="15" t="s">
        <v>25</v>
      </c>
      <c r="D49" s="15"/>
      <c r="E49" s="15" t="s">
        <v>26</v>
      </c>
      <c r="F49" s="7" t="s">
        <v>24</v>
      </c>
      <c r="H49" s="8" t="s">
        <v>24</v>
      </c>
      <c r="I49" s="48"/>
      <c r="J49" s="48"/>
      <c r="K49" s="48"/>
      <c r="L49" s="48"/>
      <c r="M49" s="48"/>
      <c r="N49" s="49"/>
      <c r="O49" s="48"/>
    </row>
    <row r="50" spans="1:15" ht="15.75" thickBot="1" x14ac:dyDescent="0.3">
      <c r="A50" t="s">
        <v>107</v>
      </c>
      <c r="B50" s="18">
        <v>738.75</v>
      </c>
      <c r="C50" s="18">
        <f>738.75/3*2</f>
        <v>492.5</v>
      </c>
      <c r="D50" s="18"/>
      <c r="E50" s="18">
        <f>738.75/3</f>
        <v>246.25</v>
      </c>
      <c r="F50" s="18">
        <f>SUM(C50:E50)</f>
        <v>738.75</v>
      </c>
      <c r="H50" s="24">
        <f>F50</f>
        <v>738.75</v>
      </c>
      <c r="I50" s="48"/>
      <c r="J50" s="48"/>
      <c r="K50" s="48"/>
      <c r="L50" s="48"/>
      <c r="M50" s="48"/>
      <c r="N50" s="49"/>
      <c r="O50" s="48"/>
    </row>
    <row r="51" spans="1:15" ht="15.75" thickTop="1" x14ac:dyDescent="0.25">
      <c r="B51" s="21"/>
      <c r="C51" s="21"/>
      <c r="D51" s="21"/>
      <c r="E51" s="21"/>
      <c r="F51" s="21"/>
      <c r="H51" s="24"/>
      <c r="I51" s="48"/>
      <c r="J51" s="48"/>
      <c r="K51" s="48"/>
      <c r="L51" s="48"/>
      <c r="M51" s="48"/>
      <c r="N51" s="49"/>
      <c r="O51" s="48"/>
    </row>
    <row r="52" spans="1:15" x14ac:dyDescent="0.25">
      <c r="A52" s="50" t="s">
        <v>91</v>
      </c>
      <c r="B52" s="51"/>
      <c r="C52" s="51"/>
      <c r="D52" s="51"/>
      <c r="E52" s="51"/>
      <c r="F52" s="52"/>
      <c r="H52" s="2"/>
      <c r="I52" s="48"/>
      <c r="J52" s="48"/>
      <c r="K52" s="48"/>
      <c r="L52" s="48"/>
      <c r="M52" s="48"/>
      <c r="N52" s="48"/>
      <c r="O52" s="48"/>
    </row>
    <row r="53" spans="1:15" x14ac:dyDescent="0.25">
      <c r="A53" s="1" t="s">
        <v>1</v>
      </c>
      <c r="B53" s="7" t="s">
        <v>42</v>
      </c>
      <c r="C53" s="15" t="s">
        <v>25</v>
      </c>
      <c r="D53" s="15"/>
      <c r="E53" s="15" t="s">
        <v>26</v>
      </c>
      <c r="F53" s="7" t="s">
        <v>24</v>
      </c>
      <c r="H53" s="2"/>
    </row>
    <row r="54" spans="1:15" s="29" customFormat="1" x14ac:dyDescent="0.25">
      <c r="A54" s="29" t="s">
        <v>183</v>
      </c>
      <c r="B54" s="32">
        <v>4218.63</v>
      </c>
      <c r="C54" s="33">
        <f>4218.63/3*2</f>
        <v>2812.42</v>
      </c>
      <c r="D54" s="33"/>
      <c r="E54" s="33">
        <f>4218.63/3</f>
        <v>1406.21</v>
      </c>
      <c r="F54" s="32">
        <f>SUM(C54:E54)</f>
        <v>4218.63</v>
      </c>
      <c r="H54" s="30"/>
    </row>
    <row r="55" spans="1:15" x14ac:dyDescent="0.25">
      <c r="A55" t="s">
        <v>92</v>
      </c>
      <c r="B55" s="12">
        <v>28.86</v>
      </c>
      <c r="C55" s="12">
        <f>28.86/3*2</f>
        <v>19.239999999999998</v>
      </c>
      <c r="D55" s="12"/>
      <c r="E55" s="12">
        <f>28.86/3</f>
        <v>9.6199999999999992</v>
      </c>
      <c r="F55" s="12">
        <f>SUM(C55:E55)</f>
        <v>28.86</v>
      </c>
      <c r="H55" s="12"/>
    </row>
    <row r="56" spans="1:15" x14ac:dyDescent="0.25">
      <c r="A56" t="s">
        <v>93</v>
      </c>
      <c r="B56" s="12">
        <v>40.83</v>
      </c>
      <c r="C56" s="12">
        <f>40.83/3*2</f>
        <v>27.22</v>
      </c>
      <c r="D56" s="12"/>
      <c r="E56" s="12">
        <f>40.83/3</f>
        <v>13.61</v>
      </c>
      <c r="F56" s="12">
        <f>SUM(C56:E56)</f>
        <v>40.83</v>
      </c>
      <c r="H56" s="12"/>
    </row>
    <row r="57" spans="1:15" x14ac:dyDescent="0.25">
      <c r="A57" t="s">
        <v>41</v>
      </c>
      <c r="B57" s="12">
        <v>25</v>
      </c>
      <c r="C57" s="12">
        <f>25/3*2</f>
        <v>16.666666666666668</v>
      </c>
      <c r="D57" s="12"/>
      <c r="E57" s="12">
        <f>25/3</f>
        <v>8.3333333333333339</v>
      </c>
      <c r="F57" s="12">
        <f>SUM(C57:E57)</f>
        <v>25</v>
      </c>
      <c r="H57" s="12"/>
    </row>
    <row r="58" spans="1:15" ht="15.75" thickBot="1" x14ac:dyDescent="0.3">
      <c r="B58" s="14">
        <f>SUM(B54:B57)</f>
        <v>4313.32</v>
      </c>
      <c r="C58" s="14">
        <f>SUM(C54:C57)</f>
        <v>2875.5466666666662</v>
      </c>
      <c r="D58" s="14"/>
      <c r="E58" s="14">
        <f>SUM(E54:E57)</f>
        <v>1437.7733333333331</v>
      </c>
      <c r="F58" s="14">
        <f>SUM(F54:F57)</f>
        <v>4313.32</v>
      </c>
      <c r="H58" s="16">
        <f>F58</f>
        <v>4313.32</v>
      </c>
    </row>
    <row r="59" spans="1:15" ht="15.75" thickTop="1" x14ac:dyDescent="0.25">
      <c r="B59" s="21"/>
      <c r="C59" s="21"/>
      <c r="D59" s="21"/>
      <c r="E59" s="21"/>
      <c r="F59" s="21"/>
      <c r="H59" s="16"/>
    </row>
    <row r="60" spans="1:15" x14ac:dyDescent="0.25">
      <c r="A60" s="50" t="s">
        <v>94</v>
      </c>
      <c r="B60" s="51"/>
      <c r="C60" s="51"/>
      <c r="D60" s="51"/>
      <c r="E60" s="51"/>
      <c r="F60" s="52"/>
    </row>
    <row r="61" spans="1:15" x14ac:dyDescent="0.25">
      <c r="A61" s="1" t="s">
        <v>1</v>
      </c>
      <c r="B61" s="7" t="s">
        <v>42</v>
      </c>
      <c r="C61" s="15" t="s">
        <v>25</v>
      </c>
      <c r="D61" s="15"/>
      <c r="E61" s="15" t="s">
        <v>26</v>
      </c>
      <c r="F61" s="7" t="s">
        <v>24</v>
      </c>
    </row>
    <row r="62" spans="1:15" x14ac:dyDescent="0.25">
      <c r="A62" t="s">
        <v>95</v>
      </c>
      <c r="B62" s="12">
        <v>126</v>
      </c>
      <c r="C62" s="12">
        <v>126</v>
      </c>
      <c r="D62" s="12"/>
      <c r="E62" s="12">
        <v>0</v>
      </c>
      <c r="F62" s="12">
        <f>SUM(C62:E62)</f>
        <v>126</v>
      </c>
      <c r="H62" s="16"/>
    </row>
    <row r="63" spans="1:15" x14ac:dyDescent="0.25">
      <c r="A63" t="s">
        <v>96</v>
      </c>
      <c r="B63" s="12">
        <v>90</v>
      </c>
      <c r="C63" s="12">
        <v>90</v>
      </c>
      <c r="D63" s="12"/>
      <c r="E63" s="12">
        <v>0</v>
      </c>
      <c r="F63" s="12">
        <f>SUM(C63:E63)</f>
        <v>90</v>
      </c>
      <c r="G63" s="16"/>
      <c r="H63" s="16"/>
    </row>
    <row r="64" spans="1:15" x14ac:dyDescent="0.25">
      <c r="A64" t="s">
        <v>41</v>
      </c>
      <c r="B64" s="13">
        <v>69</v>
      </c>
      <c r="C64" s="13">
        <v>69</v>
      </c>
      <c r="D64" s="13"/>
      <c r="E64" s="13">
        <v>0</v>
      </c>
      <c r="F64" s="13">
        <f>SUM(C64:E64)</f>
        <v>69</v>
      </c>
      <c r="H64" s="24"/>
    </row>
    <row r="65" spans="1:8" ht="15.75" thickBot="1" x14ac:dyDescent="0.3">
      <c r="B65" s="14">
        <f>SUM(B62:B64)</f>
        <v>285</v>
      </c>
      <c r="C65" s="14">
        <f>SUM(C62:C64)</f>
        <v>285</v>
      </c>
      <c r="D65" s="14"/>
      <c r="E65" s="14">
        <v>0</v>
      </c>
      <c r="F65" s="14">
        <f>SUM(F62:F64)</f>
        <v>285</v>
      </c>
      <c r="H65" s="24">
        <f>F65</f>
        <v>285</v>
      </c>
    </row>
    <row r="66" spans="1:8" ht="15.75" thickTop="1" x14ac:dyDescent="0.25">
      <c r="B66" s="21"/>
      <c r="C66" s="21"/>
      <c r="D66" s="21"/>
      <c r="E66" s="21"/>
      <c r="F66" s="21"/>
      <c r="H66" s="24"/>
    </row>
    <row r="67" spans="1:8" x14ac:dyDescent="0.25">
      <c r="A67" s="50" t="s">
        <v>104</v>
      </c>
      <c r="B67" s="51"/>
      <c r="C67" s="51"/>
      <c r="D67" s="51"/>
      <c r="E67" s="51"/>
      <c r="F67" s="52"/>
    </row>
    <row r="68" spans="1:8" x14ac:dyDescent="0.25">
      <c r="A68" s="1" t="s">
        <v>1</v>
      </c>
      <c r="B68" s="7" t="s">
        <v>42</v>
      </c>
      <c r="C68" s="15" t="s">
        <v>25</v>
      </c>
      <c r="D68" s="15"/>
      <c r="E68" s="15" t="s">
        <v>26</v>
      </c>
      <c r="F68" s="7" t="s">
        <v>24</v>
      </c>
    </row>
    <row r="69" spans="1:8" ht="15.75" thickBot="1" x14ac:dyDescent="0.3">
      <c r="A69" t="s">
        <v>105</v>
      </c>
      <c r="B69" s="18">
        <v>2902</v>
      </c>
      <c r="C69" s="18">
        <f>2902/3*2</f>
        <v>1934.6666666666667</v>
      </c>
      <c r="D69" s="18"/>
      <c r="E69" s="18">
        <f>2902/3</f>
        <v>967.33333333333337</v>
      </c>
      <c r="F69" s="18">
        <f>SUM(C69:E69)</f>
        <v>2902</v>
      </c>
      <c r="H69" s="24">
        <f>F69</f>
        <v>2902</v>
      </c>
    </row>
    <row r="70" spans="1:8" ht="15.75" thickTop="1" x14ac:dyDescent="0.25">
      <c r="B70" s="21"/>
      <c r="C70" s="21"/>
      <c r="D70" s="21"/>
      <c r="E70" s="21"/>
      <c r="F70" s="21"/>
      <c r="H70" s="24"/>
    </row>
    <row r="71" spans="1:8" x14ac:dyDescent="0.25">
      <c r="A71" s="50" t="s">
        <v>109</v>
      </c>
      <c r="B71" s="51"/>
      <c r="C71" s="51"/>
      <c r="D71" s="51"/>
      <c r="E71" s="51"/>
      <c r="F71" s="52"/>
    </row>
    <row r="72" spans="1:8" x14ac:dyDescent="0.25">
      <c r="A72" t="s">
        <v>99</v>
      </c>
      <c r="B72" s="12">
        <v>13167</v>
      </c>
      <c r="C72" s="12"/>
      <c r="D72" s="12"/>
      <c r="E72" s="12"/>
      <c r="F72" s="12"/>
      <c r="H72" s="24"/>
    </row>
    <row r="73" spans="1:8" x14ac:dyDescent="0.25">
      <c r="B73" s="12"/>
      <c r="C73" s="12"/>
      <c r="D73" s="12"/>
      <c r="E73" s="12"/>
      <c r="F73" s="12"/>
      <c r="H73" s="24"/>
    </row>
    <row r="74" spans="1:8" x14ac:dyDescent="0.25">
      <c r="A74" s="50" t="s">
        <v>134</v>
      </c>
      <c r="B74" s="51"/>
      <c r="C74" s="51"/>
      <c r="D74" s="51"/>
      <c r="E74" s="51"/>
      <c r="F74" s="52"/>
    </row>
    <row r="75" spans="1:8" x14ac:dyDescent="0.25">
      <c r="A75" s="1" t="s">
        <v>1</v>
      </c>
      <c r="B75" s="7" t="s">
        <v>42</v>
      </c>
      <c r="C75" s="15" t="s">
        <v>25</v>
      </c>
      <c r="D75" s="15"/>
      <c r="E75" s="15" t="s">
        <v>26</v>
      </c>
      <c r="F75" s="7" t="s">
        <v>24</v>
      </c>
    </row>
    <row r="76" spans="1:8" x14ac:dyDescent="0.25">
      <c r="A76" t="s">
        <v>129</v>
      </c>
      <c r="B76" s="12"/>
      <c r="C76" s="12">
        <f>1155/3*2</f>
        <v>770</v>
      </c>
      <c r="D76" s="12"/>
      <c r="E76" s="12">
        <f>1155/3</f>
        <v>385</v>
      </c>
      <c r="F76" s="12">
        <f>SUM(C76:E76)</f>
        <v>1155</v>
      </c>
      <c r="H76" s="16"/>
    </row>
    <row r="77" spans="1:8" x14ac:dyDescent="0.25">
      <c r="A77" t="s">
        <v>130</v>
      </c>
      <c r="B77" s="12"/>
      <c r="C77" s="12">
        <f>435/3*2</f>
        <v>290</v>
      </c>
      <c r="D77" s="12"/>
      <c r="E77" s="12">
        <f>435/3</f>
        <v>145</v>
      </c>
      <c r="F77" s="12">
        <f>SUM(C77:E77)</f>
        <v>435</v>
      </c>
      <c r="H77" s="16"/>
    </row>
    <row r="78" spans="1:8" x14ac:dyDescent="0.25">
      <c r="A78" t="s">
        <v>131</v>
      </c>
      <c r="B78" s="12"/>
      <c r="C78" s="12">
        <f>495/3*2</f>
        <v>330</v>
      </c>
      <c r="D78" s="12"/>
      <c r="E78" s="12">
        <f>495/3</f>
        <v>165</v>
      </c>
      <c r="F78" s="12">
        <f>SUM(C78:E78)</f>
        <v>495</v>
      </c>
      <c r="H78" s="16"/>
    </row>
    <row r="79" spans="1:8" x14ac:dyDescent="0.25">
      <c r="A79" t="s">
        <v>132</v>
      </c>
      <c r="B79" s="12"/>
      <c r="C79" s="12">
        <f>145/3*2</f>
        <v>96.666666666666671</v>
      </c>
      <c r="D79" s="12"/>
      <c r="E79" s="12">
        <f>145/3</f>
        <v>48.333333333333336</v>
      </c>
      <c r="F79" s="12">
        <f>SUM(C79:E79)</f>
        <v>145</v>
      </c>
      <c r="H79" s="16"/>
    </row>
    <row r="80" spans="1:8" x14ac:dyDescent="0.25">
      <c r="A80" t="s">
        <v>133</v>
      </c>
      <c r="B80" s="12"/>
      <c r="C80" s="12">
        <f>495/3*2</f>
        <v>330</v>
      </c>
      <c r="D80" s="12"/>
      <c r="E80" s="12">
        <f>495/3</f>
        <v>165</v>
      </c>
      <c r="F80" s="12">
        <f>SUM(C80:E80)</f>
        <v>495</v>
      </c>
      <c r="H80" s="24"/>
    </row>
    <row r="81" spans="1:8" ht="15.75" thickBot="1" x14ac:dyDescent="0.3">
      <c r="B81" s="14">
        <f>SUM(B76:B80)</f>
        <v>0</v>
      </c>
      <c r="C81" s="14">
        <f>SUM(C76:C80)</f>
        <v>1816.6666666666667</v>
      </c>
      <c r="D81" s="14"/>
      <c r="E81" s="14">
        <f>SUM(E76:E80)</f>
        <v>908.33333333333337</v>
      </c>
      <c r="F81" s="14">
        <f>SUM(F76:F80)</f>
        <v>2725</v>
      </c>
      <c r="H81" s="24">
        <f>F81</f>
        <v>2725</v>
      </c>
    </row>
    <row r="82" spans="1:8" ht="15.75" thickTop="1" x14ac:dyDescent="0.25">
      <c r="B82" s="12"/>
      <c r="C82" s="12"/>
      <c r="D82" s="12"/>
      <c r="E82" s="12"/>
      <c r="F82" s="12"/>
      <c r="H82" s="24"/>
    </row>
    <row r="83" spans="1:8" x14ac:dyDescent="0.25">
      <c r="A83" s="50" t="s">
        <v>116</v>
      </c>
      <c r="B83" s="51"/>
      <c r="C83" s="51"/>
      <c r="D83" s="51"/>
      <c r="E83" s="51"/>
      <c r="F83" s="52"/>
    </row>
    <row r="84" spans="1:8" x14ac:dyDescent="0.25">
      <c r="A84" s="1" t="s">
        <v>1</v>
      </c>
      <c r="B84" s="7" t="s">
        <v>42</v>
      </c>
      <c r="C84" s="15" t="s">
        <v>25</v>
      </c>
      <c r="D84" s="15"/>
      <c r="E84" s="15" t="s">
        <v>26</v>
      </c>
      <c r="F84" s="7" t="s">
        <v>24</v>
      </c>
    </row>
    <row r="85" spans="1:8" ht="15.75" thickBot="1" x14ac:dyDescent="0.3">
      <c r="A85" t="s">
        <v>111</v>
      </c>
      <c r="B85" s="18"/>
      <c r="C85" s="18">
        <v>55</v>
      </c>
      <c r="D85" s="18"/>
      <c r="E85" s="18">
        <v>27.5</v>
      </c>
      <c r="F85" s="18">
        <f>SUM(C85:E85)</f>
        <v>82.5</v>
      </c>
      <c r="H85" s="24">
        <f>F85</f>
        <v>82.5</v>
      </c>
    </row>
    <row r="86" spans="1:8" ht="15.75" thickTop="1" x14ac:dyDescent="0.25">
      <c r="B86" s="21"/>
      <c r="C86" s="21"/>
      <c r="D86" s="21"/>
      <c r="E86" s="21"/>
      <c r="F86" s="21"/>
      <c r="H86" s="24"/>
    </row>
    <row r="87" spans="1:8" x14ac:dyDescent="0.25">
      <c r="A87" s="50" t="s">
        <v>141</v>
      </c>
      <c r="B87" s="51"/>
      <c r="C87" s="51"/>
      <c r="D87" s="51"/>
      <c r="E87" s="51"/>
      <c r="F87" s="52"/>
    </row>
    <row r="88" spans="1:8" x14ac:dyDescent="0.25">
      <c r="A88" s="1" t="s">
        <v>1</v>
      </c>
      <c r="B88" s="7" t="s">
        <v>42</v>
      </c>
      <c r="C88" s="15" t="s">
        <v>25</v>
      </c>
      <c r="D88" s="15"/>
      <c r="E88" s="15" t="s">
        <v>26</v>
      </c>
      <c r="F88" s="7" t="s">
        <v>24</v>
      </c>
    </row>
    <row r="89" spans="1:8" x14ac:dyDescent="0.25">
      <c r="A89" t="s">
        <v>138</v>
      </c>
      <c r="B89" s="12">
        <v>149</v>
      </c>
      <c r="C89" s="12">
        <f>149/3*2</f>
        <v>99.333333333333329</v>
      </c>
      <c r="D89" s="12"/>
      <c r="E89" s="12">
        <f>149/3</f>
        <v>49.666666666666664</v>
      </c>
      <c r="F89" s="12">
        <f>SUM(C89:E89)</f>
        <v>149</v>
      </c>
      <c r="H89" s="16"/>
    </row>
    <row r="90" spans="1:8" x14ac:dyDescent="0.25">
      <c r="A90" t="s">
        <v>139</v>
      </c>
      <c r="B90" s="12">
        <v>13</v>
      </c>
      <c r="C90" s="12">
        <f>13/3*2</f>
        <v>8.6666666666666661</v>
      </c>
      <c r="D90" s="12"/>
      <c r="E90" s="12">
        <f>13/3</f>
        <v>4.333333333333333</v>
      </c>
      <c r="F90" s="12">
        <f>SUM(C90:E90)</f>
        <v>13</v>
      </c>
      <c r="H90" s="24"/>
    </row>
    <row r="91" spans="1:8" ht="15.75" thickBot="1" x14ac:dyDescent="0.3">
      <c r="B91" s="14">
        <f>SUM(B89:B90)</f>
        <v>162</v>
      </c>
      <c r="C91" s="14">
        <f>SUM(C89:C90)</f>
        <v>108</v>
      </c>
      <c r="D91" s="14"/>
      <c r="E91" s="14">
        <f>SUM(E89:E90)</f>
        <v>54</v>
      </c>
      <c r="F91" s="14">
        <f>SUM(F89:F90)</f>
        <v>162</v>
      </c>
      <c r="H91" s="24">
        <f>F91</f>
        <v>162</v>
      </c>
    </row>
    <row r="92" spans="1:8" ht="15.75" thickTop="1" x14ac:dyDescent="0.25">
      <c r="B92" s="21"/>
      <c r="C92" s="21"/>
      <c r="D92" s="21"/>
      <c r="E92" s="21"/>
      <c r="F92" s="21"/>
      <c r="H92" s="24"/>
    </row>
    <row r="93" spans="1:8" x14ac:dyDescent="0.25">
      <c r="A93" s="50" t="s">
        <v>142</v>
      </c>
      <c r="B93" s="51"/>
      <c r="C93" s="51"/>
      <c r="D93" s="51"/>
      <c r="E93" s="51"/>
      <c r="F93" s="52"/>
    </row>
    <row r="94" spans="1:8" x14ac:dyDescent="0.25">
      <c r="A94" s="1" t="s">
        <v>1</v>
      </c>
      <c r="B94" s="7" t="s">
        <v>42</v>
      </c>
      <c r="C94" s="15" t="s">
        <v>25</v>
      </c>
      <c r="D94" s="15"/>
      <c r="E94" s="15" t="s">
        <v>26</v>
      </c>
      <c r="F94" s="7" t="s">
        <v>24</v>
      </c>
      <c r="H94" s="8" t="s">
        <v>24</v>
      </c>
    </row>
    <row r="95" spans="1:8" x14ac:dyDescent="0.25">
      <c r="A95" t="s">
        <v>137</v>
      </c>
      <c r="B95" s="12">
        <v>757</v>
      </c>
      <c r="C95" s="12">
        <f>757/3*2</f>
        <v>504.66666666666669</v>
      </c>
      <c r="D95" s="12"/>
      <c r="E95" s="12">
        <f>757/3</f>
        <v>252.33333333333334</v>
      </c>
      <c r="F95" s="12">
        <f>SUM(C95:E95)</f>
        <v>757</v>
      </c>
      <c r="H95" s="16"/>
    </row>
    <row r="96" spans="1:8" ht="15.75" thickBot="1" x14ac:dyDescent="0.3">
      <c r="B96" s="14">
        <f>SUM(B95:B95)</f>
        <v>757</v>
      </c>
      <c r="C96" s="14">
        <f>SUM(C95:C95)</f>
        <v>504.66666666666669</v>
      </c>
      <c r="D96" s="14"/>
      <c r="E96" s="14">
        <f>SUM(E95:E95)</f>
        <v>252.33333333333334</v>
      </c>
      <c r="F96" s="14">
        <f>SUM(C96:E96)</f>
        <v>757</v>
      </c>
      <c r="H96" s="24">
        <f>F96</f>
        <v>757</v>
      </c>
    </row>
    <row r="97" spans="1:8" ht="15.75" thickTop="1" x14ac:dyDescent="0.25">
      <c r="B97" s="12"/>
      <c r="C97" s="12"/>
      <c r="D97" s="12"/>
      <c r="E97" s="12"/>
      <c r="F97" s="12"/>
      <c r="H97" s="24"/>
    </row>
    <row r="98" spans="1:8" x14ac:dyDescent="0.25">
      <c r="A98" s="50" t="s">
        <v>174</v>
      </c>
      <c r="B98" s="51"/>
      <c r="C98" s="51"/>
      <c r="D98" s="51"/>
      <c r="E98" s="51"/>
      <c r="F98" s="52"/>
    </row>
    <row r="99" spans="1:8" x14ac:dyDescent="0.25">
      <c r="A99" s="1" t="s">
        <v>1</v>
      </c>
      <c r="B99" s="7" t="s">
        <v>42</v>
      </c>
      <c r="C99" s="15" t="s">
        <v>25</v>
      </c>
      <c r="D99" s="15"/>
      <c r="E99" s="15" t="s">
        <v>26</v>
      </c>
      <c r="F99" s="7" t="s">
        <v>24</v>
      </c>
    </row>
    <row r="100" spans="1:8" x14ac:dyDescent="0.25">
      <c r="A100" t="s">
        <v>175</v>
      </c>
      <c r="B100" s="12">
        <v>44</v>
      </c>
      <c r="C100" s="12">
        <v>44</v>
      </c>
      <c r="D100" s="12"/>
      <c r="E100" s="12">
        <v>0</v>
      </c>
      <c r="F100" s="12">
        <f>SUM(C100:E100)</f>
        <v>44</v>
      </c>
      <c r="H100" s="16"/>
    </row>
    <row r="101" spans="1:8" x14ac:dyDescent="0.25">
      <c r="A101" t="s">
        <v>41</v>
      </c>
      <c r="B101" s="13">
        <v>13</v>
      </c>
      <c r="C101" s="13">
        <v>13</v>
      </c>
      <c r="D101" s="13"/>
      <c r="E101" s="13">
        <v>0</v>
      </c>
      <c r="F101" s="13">
        <f>SUM(C101:E101)</f>
        <v>13</v>
      </c>
      <c r="H101" s="24"/>
    </row>
    <row r="102" spans="1:8" ht="15.75" thickBot="1" x14ac:dyDescent="0.3">
      <c r="B102" s="14">
        <f>SUM(B100:B101)</f>
        <v>57</v>
      </c>
      <c r="C102" s="14">
        <f>SUM(C100:C101)</f>
        <v>57</v>
      </c>
      <c r="D102" s="14"/>
      <c r="E102" s="14">
        <v>0</v>
      </c>
      <c r="F102" s="14">
        <f>SUM(F100:F101)</f>
        <v>57</v>
      </c>
      <c r="H102" s="24">
        <f>F102</f>
        <v>57</v>
      </c>
    </row>
    <row r="103" spans="1:8" ht="15.75" thickTop="1" x14ac:dyDescent="0.25">
      <c r="B103" s="21"/>
      <c r="C103" s="21"/>
      <c r="D103" s="21"/>
      <c r="E103" s="21"/>
      <c r="F103" s="21"/>
      <c r="H103" s="24"/>
    </row>
    <row r="104" spans="1:8" x14ac:dyDescent="0.25">
      <c r="A104" s="50" t="s">
        <v>177</v>
      </c>
      <c r="B104" s="51"/>
      <c r="C104" s="51"/>
      <c r="D104" s="51"/>
      <c r="E104" s="51"/>
      <c r="F104" s="52"/>
    </row>
    <row r="105" spans="1:8" x14ac:dyDescent="0.25">
      <c r="A105" s="1" t="s">
        <v>1</v>
      </c>
      <c r="B105" s="7" t="s">
        <v>42</v>
      </c>
      <c r="C105" s="15" t="s">
        <v>25</v>
      </c>
      <c r="D105" s="15"/>
      <c r="E105" s="15" t="s">
        <v>26</v>
      </c>
      <c r="F105" s="7" t="s">
        <v>24</v>
      </c>
    </row>
    <row r="106" spans="1:8" ht="15.75" thickBot="1" x14ac:dyDescent="0.3">
      <c r="A106" t="s">
        <v>113</v>
      </c>
      <c r="B106" s="18"/>
      <c r="C106" s="18">
        <f>8698.75/3*2</f>
        <v>5799.166666666667</v>
      </c>
      <c r="D106" s="18"/>
      <c r="E106" s="18">
        <f>8698.75/3</f>
        <v>2899.5833333333335</v>
      </c>
      <c r="F106" s="18">
        <f>SUM(C106:E106)</f>
        <v>8698.75</v>
      </c>
      <c r="H106" s="24">
        <f>F106</f>
        <v>8698.75</v>
      </c>
    </row>
    <row r="107" spans="1:8" ht="15.75" thickTop="1" x14ac:dyDescent="0.25">
      <c r="B107" s="21"/>
      <c r="C107" s="21"/>
      <c r="D107" s="21"/>
      <c r="E107" s="21"/>
      <c r="F107" s="21"/>
      <c r="H107" s="24"/>
    </row>
    <row r="108" spans="1:8" x14ac:dyDescent="0.25">
      <c r="A108" s="50" t="s">
        <v>182</v>
      </c>
      <c r="B108" s="51"/>
      <c r="C108" s="51"/>
      <c r="D108" s="51"/>
      <c r="E108" s="51"/>
      <c r="F108" s="52"/>
    </row>
    <row r="109" spans="1:8" x14ac:dyDescent="0.25">
      <c r="A109" s="1" t="s">
        <v>1</v>
      </c>
      <c r="B109" s="7" t="s">
        <v>42</v>
      </c>
      <c r="C109" s="15" t="s">
        <v>25</v>
      </c>
      <c r="D109" s="15"/>
      <c r="E109" s="15" t="s">
        <v>26</v>
      </c>
      <c r="F109" s="7" t="s">
        <v>24</v>
      </c>
    </row>
    <row r="110" spans="1:8" x14ac:dyDescent="0.25">
      <c r="A110" t="s">
        <v>176</v>
      </c>
      <c r="B110" s="12">
        <v>99</v>
      </c>
      <c r="C110" s="12">
        <f>4.95*15</f>
        <v>74.25</v>
      </c>
      <c r="D110" s="12"/>
      <c r="E110" s="12">
        <f>4.95*5</f>
        <v>24.75</v>
      </c>
      <c r="F110" s="12">
        <f>SUM(C110:E110)</f>
        <v>99</v>
      </c>
    </row>
    <row r="111" spans="1:8" ht="15.75" thickBot="1" x14ac:dyDescent="0.3">
      <c r="B111" s="14">
        <f>SUM(B110:B110)</f>
        <v>99</v>
      </c>
      <c r="C111" s="14">
        <f>SUM(C110:C110)</f>
        <v>74.25</v>
      </c>
      <c r="D111" s="14"/>
      <c r="E111" s="14">
        <f>SUM(E110:E110)</f>
        <v>24.75</v>
      </c>
      <c r="F111" s="14">
        <f>SUM(C111:E111)</f>
        <v>99</v>
      </c>
      <c r="H111" s="24">
        <f>F110</f>
        <v>99</v>
      </c>
    </row>
    <row r="112" spans="1:8" ht="15.75" thickTop="1" x14ac:dyDescent="0.25">
      <c r="A112" s="1" t="s">
        <v>199</v>
      </c>
      <c r="B112" s="21"/>
      <c r="C112" s="21"/>
      <c r="D112" s="21"/>
      <c r="E112" s="21"/>
      <c r="F112" s="21"/>
      <c r="H112" s="24"/>
    </row>
    <row r="113" spans="1:8" x14ac:dyDescent="0.25">
      <c r="A113" s="1"/>
      <c r="B113" s="21"/>
      <c r="C113" s="21"/>
      <c r="D113" s="21"/>
      <c r="E113" s="21"/>
      <c r="F113" s="21"/>
      <c r="H113" s="24"/>
    </row>
    <row r="114" spans="1:8" x14ac:dyDescent="0.25">
      <c r="A114" s="50" t="s">
        <v>184</v>
      </c>
      <c r="B114" s="51"/>
      <c r="C114" s="51"/>
      <c r="D114" s="51"/>
      <c r="E114" s="51"/>
      <c r="F114" s="52"/>
    </row>
    <row r="115" spans="1:8" x14ac:dyDescent="0.25">
      <c r="A115" s="1" t="s">
        <v>1</v>
      </c>
      <c r="B115" s="7" t="s">
        <v>42</v>
      </c>
      <c r="C115" s="15" t="s">
        <v>25</v>
      </c>
      <c r="D115" s="15"/>
      <c r="E115" s="15" t="s">
        <v>26</v>
      </c>
      <c r="F115" s="7" t="s">
        <v>24</v>
      </c>
    </row>
    <row r="116" spans="1:8" ht="18" thickBot="1" x14ac:dyDescent="0.3">
      <c r="A116" t="s">
        <v>187</v>
      </c>
      <c r="B116" s="18"/>
      <c r="C116" s="18">
        <v>-1934.67</v>
      </c>
      <c r="D116" s="18"/>
      <c r="E116" s="18">
        <v>-967.33</v>
      </c>
      <c r="F116" s="18">
        <f>SUM(C116:E116)</f>
        <v>-2902</v>
      </c>
      <c r="H116" s="24">
        <f>F116</f>
        <v>-2902</v>
      </c>
    </row>
    <row r="117" spans="1:8" ht="15.75" thickTop="1" x14ac:dyDescent="0.25">
      <c r="A117" t="s">
        <v>192</v>
      </c>
      <c r="B117" s="21"/>
      <c r="C117" s="21"/>
      <c r="D117" s="21"/>
      <c r="E117" s="21"/>
      <c r="F117" s="21"/>
      <c r="H117" s="24"/>
    </row>
    <row r="118" spans="1:8" x14ac:dyDescent="0.25">
      <c r="A118" t="s">
        <v>193</v>
      </c>
      <c r="B118" s="21"/>
      <c r="C118" s="21"/>
      <c r="D118" s="21"/>
      <c r="E118" s="21"/>
      <c r="F118" s="21"/>
      <c r="H118" s="24"/>
    </row>
    <row r="119" spans="1:8" x14ac:dyDescent="0.25">
      <c r="B119" s="21"/>
      <c r="C119" s="21"/>
      <c r="D119" s="21"/>
      <c r="E119" s="21"/>
      <c r="F119" s="21"/>
      <c r="H119" s="24"/>
    </row>
    <row r="120" spans="1:8" x14ac:dyDescent="0.25">
      <c r="A120" s="50" t="s">
        <v>185</v>
      </c>
      <c r="B120" s="51"/>
      <c r="C120" s="51"/>
      <c r="D120" s="51"/>
      <c r="E120" s="51"/>
      <c r="F120" s="52"/>
    </row>
    <row r="121" spans="1:8" x14ac:dyDescent="0.25">
      <c r="A121" s="1" t="s">
        <v>1</v>
      </c>
      <c r="B121" s="7" t="s">
        <v>42</v>
      </c>
      <c r="C121" s="15" t="s">
        <v>25</v>
      </c>
      <c r="D121" s="15"/>
      <c r="E121" s="15" t="s">
        <v>26</v>
      </c>
      <c r="F121" s="7" t="s">
        <v>24</v>
      </c>
    </row>
    <row r="122" spans="1:8" ht="18" thickBot="1" x14ac:dyDescent="0.3">
      <c r="A122" t="s">
        <v>186</v>
      </c>
      <c r="B122" s="18"/>
      <c r="C122" s="18">
        <v>-2812.42</v>
      </c>
      <c r="D122" s="18"/>
      <c r="E122" s="18">
        <v>-1406.21</v>
      </c>
      <c r="F122" s="18">
        <f>SUM(C122:E122)</f>
        <v>-4218.63</v>
      </c>
      <c r="G122" s="16">
        <f>SUM(C122:F122)</f>
        <v>-8437.26</v>
      </c>
      <c r="H122" s="24">
        <f>F122</f>
        <v>-4218.63</v>
      </c>
    </row>
    <row r="123" spans="1:8" ht="15.75" thickTop="1" x14ac:dyDescent="0.25">
      <c r="A123" t="s">
        <v>194</v>
      </c>
      <c r="B123" s="21"/>
      <c r="C123" s="21"/>
      <c r="D123" s="21"/>
      <c r="E123" s="21"/>
      <c r="F123" s="21"/>
      <c r="G123" s="16"/>
      <c r="H123" s="24"/>
    </row>
    <row r="124" spans="1:8" x14ac:dyDescent="0.25">
      <c r="A124" t="s">
        <v>195</v>
      </c>
      <c r="B124" s="21"/>
      <c r="C124" s="21"/>
      <c r="D124" s="21"/>
      <c r="E124" s="21"/>
      <c r="F124" s="21"/>
      <c r="G124" s="16"/>
      <c r="H124" s="24"/>
    </row>
    <row r="125" spans="1:8" x14ac:dyDescent="0.25">
      <c r="B125" s="21"/>
      <c r="C125" s="21"/>
      <c r="D125" s="21"/>
      <c r="E125" s="21"/>
      <c r="F125" s="21"/>
      <c r="G125" s="16"/>
      <c r="H125" s="24"/>
    </row>
    <row r="126" spans="1:8" x14ac:dyDescent="0.25">
      <c r="A126" s="50" t="s">
        <v>197</v>
      </c>
      <c r="B126" s="51"/>
      <c r="C126" s="51"/>
      <c r="D126" s="51"/>
      <c r="E126" s="51"/>
      <c r="F126" s="52"/>
    </row>
    <row r="127" spans="1:8" x14ac:dyDescent="0.25">
      <c r="A127" s="1" t="s">
        <v>1</v>
      </c>
      <c r="B127" s="7" t="s">
        <v>42</v>
      </c>
      <c r="C127" s="15" t="s">
        <v>25</v>
      </c>
      <c r="D127" s="15"/>
      <c r="E127" s="15" t="s">
        <v>26</v>
      </c>
      <c r="F127" s="7" t="s">
        <v>24</v>
      </c>
    </row>
    <row r="128" spans="1:8" x14ac:dyDescent="0.25">
      <c r="A128" t="s">
        <v>200</v>
      </c>
      <c r="B128" s="12"/>
      <c r="C128" s="12">
        <v>9.9499999999999993</v>
      </c>
      <c r="D128" s="12"/>
      <c r="E128" s="17" t="s">
        <v>160</v>
      </c>
      <c r="F128" s="12">
        <f>SUM(C128:E128)</f>
        <v>9.9499999999999993</v>
      </c>
      <c r="H128" s="24"/>
    </row>
    <row r="129" spans="1:8" x14ac:dyDescent="0.25">
      <c r="A129" t="s">
        <v>139</v>
      </c>
      <c r="B129" s="12"/>
      <c r="C129" s="12">
        <v>6</v>
      </c>
      <c r="D129" s="12"/>
      <c r="E129" s="17" t="s">
        <v>160</v>
      </c>
      <c r="F129" s="12">
        <f>SUM(C129:E129)</f>
        <v>6</v>
      </c>
      <c r="H129" s="24"/>
    </row>
    <row r="130" spans="1:8" ht="15.75" thickBot="1" x14ac:dyDescent="0.3">
      <c r="B130" s="14">
        <f>SUM(B128:B128)</f>
        <v>0</v>
      </c>
      <c r="C130" s="14">
        <f>SUM(C128:C129)</f>
        <v>15.95</v>
      </c>
      <c r="D130" s="14"/>
      <c r="E130" s="43">
        <f>SUM(E128:E129)</f>
        <v>0</v>
      </c>
      <c r="F130" s="14">
        <f>SUM(F128:F129)</f>
        <v>15.95</v>
      </c>
      <c r="H130" s="24">
        <f>F130</f>
        <v>15.95</v>
      </c>
    </row>
    <row r="131" spans="1:8" ht="15.75" thickTop="1" x14ac:dyDescent="0.25">
      <c r="B131" s="21"/>
      <c r="C131" s="21"/>
      <c r="D131" s="21"/>
      <c r="E131" s="21"/>
      <c r="F131" s="21"/>
      <c r="H131" s="24"/>
    </row>
    <row r="132" spans="1:8" x14ac:dyDescent="0.25">
      <c r="A132" s="50" t="s">
        <v>198</v>
      </c>
      <c r="B132" s="51"/>
      <c r="C132" s="51"/>
      <c r="D132" s="51"/>
      <c r="E132" s="51"/>
      <c r="F132" s="52"/>
    </row>
    <row r="133" spans="1:8" x14ac:dyDescent="0.25">
      <c r="A133" s="1" t="s">
        <v>1</v>
      </c>
      <c r="B133" s="7" t="s">
        <v>42</v>
      </c>
      <c r="C133" s="15" t="s">
        <v>25</v>
      </c>
      <c r="D133" s="15"/>
      <c r="E133" s="15" t="s">
        <v>26</v>
      </c>
      <c r="F133" s="7" t="s">
        <v>24</v>
      </c>
    </row>
    <row r="134" spans="1:8" x14ac:dyDescent="0.25">
      <c r="A134" t="s">
        <v>201</v>
      </c>
      <c r="B134" s="12"/>
      <c r="C134" s="12">
        <f>9.95*14</f>
        <v>139.29999999999998</v>
      </c>
      <c r="D134" s="12"/>
      <c r="E134" s="17">
        <f>9.95*5</f>
        <v>49.75</v>
      </c>
      <c r="F134" s="12">
        <f>SUM(C134:E134)</f>
        <v>189.04999999999998</v>
      </c>
      <c r="H134" s="24"/>
    </row>
    <row r="135" spans="1:8" x14ac:dyDescent="0.25">
      <c r="A135" t="s">
        <v>139</v>
      </c>
      <c r="B135" s="12"/>
      <c r="C135" s="12">
        <f>19/3*2</f>
        <v>12.666666666666666</v>
      </c>
      <c r="D135" s="12"/>
      <c r="E135" s="17">
        <f>19/3</f>
        <v>6.333333333333333</v>
      </c>
      <c r="F135" s="12">
        <f>SUM(C135:E135)</f>
        <v>19</v>
      </c>
      <c r="H135" s="24"/>
    </row>
    <row r="136" spans="1:8" ht="15.75" thickBot="1" x14ac:dyDescent="0.3">
      <c r="B136" s="14">
        <f>SUM(B134:B134)</f>
        <v>0</v>
      </c>
      <c r="C136" s="14">
        <f>SUM(C134:C135)</f>
        <v>151.96666666666664</v>
      </c>
      <c r="D136" s="14"/>
      <c r="E136" s="14">
        <f>SUM(E134:E134)</f>
        <v>49.75</v>
      </c>
      <c r="F136" s="14">
        <f>SUM(F134:F135)</f>
        <v>208.04999999999998</v>
      </c>
      <c r="H136" s="24">
        <f>F136</f>
        <v>208.04999999999998</v>
      </c>
    </row>
    <row r="137" spans="1:8" ht="15.75" thickTop="1" x14ac:dyDescent="0.25">
      <c r="B137" s="21"/>
      <c r="C137" s="21"/>
      <c r="D137" s="21"/>
      <c r="E137" s="21"/>
      <c r="F137" s="21"/>
      <c r="H137" s="24"/>
    </row>
    <row r="138" spans="1:8" x14ac:dyDescent="0.25">
      <c r="B138" s="21"/>
      <c r="C138" s="21"/>
      <c r="D138" s="21"/>
      <c r="E138" s="21"/>
      <c r="F138" s="21"/>
      <c r="H138" s="24"/>
    </row>
    <row r="139" spans="1:8" x14ac:dyDescent="0.25">
      <c r="B139" s="21"/>
      <c r="C139" s="21"/>
      <c r="D139" s="21"/>
      <c r="E139" s="21"/>
      <c r="F139" s="21"/>
      <c r="H139" s="24"/>
    </row>
    <row r="140" spans="1:8" x14ac:dyDescent="0.25">
      <c r="B140" s="21"/>
      <c r="C140" s="21"/>
      <c r="D140" s="21"/>
      <c r="E140" s="21"/>
      <c r="F140" s="21"/>
      <c r="H140" s="24"/>
    </row>
    <row r="141" spans="1:8" x14ac:dyDescent="0.25">
      <c r="A141" s="50" t="s">
        <v>196</v>
      </c>
      <c r="B141" s="51"/>
      <c r="C141" s="51"/>
      <c r="D141" s="51"/>
      <c r="E141" s="51"/>
      <c r="F141" s="52"/>
    </row>
    <row r="142" spans="1:8" x14ac:dyDescent="0.25">
      <c r="A142" s="1" t="s">
        <v>1</v>
      </c>
      <c r="B142" s="7" t="s">
        <v>42</v>
      </c>
      <c r="C142" s="15" t="s">
        <v>25</v>
      </c>
      <c r="D142" s="15"/>
      <c r="E142" s="15" t="s">
        <v>26</v>
      </c>
      <c r="F142" s="7" t="s">
        <v>24</v>
      </c>
    </row>
    <row r="143" spans="1:8" x14ac:dyDescent="0.25">
      <c r="A143" t="s">
        <v>113</v>
      </c>
      <c r="B143" s="12"/>
      <c r="C143" s="12">
        <f>72.5/3*2</f>
        <v>48.333333333333336</v>
      </c>
      <c r="D143" s="12"/>
      <c r="E143" s="12">
        <f>72.5/3</f>
        <v>24.166666666666668</v>
      </c>
      <c r="F143" s="12">
        <f>SUM(C143:E143)</f>
        <v>72.5</v>
      </c>
      <c r="H143" s="16"/>
    </row>
    <row r="144" spans="1:8" x14ac:dyDescent="0.25">
      <c r="A144" t="s">
        <v>111</v>
      </c>
      <c r="B144" s="13"/>
      <c r="C144" s="13">
        <f>536.25/3*2</f>
        <v>357.5</v>
      </c>
      <c r="D144" s="13"/>
      <c r="E144" s="13">
        <f>536.25/3</f>
        <v>178.75</v>
      </c>
      <c r="F144" s="13">
        <f>SUM(C144:E144)</f>
        <v>536.25</v>
      </c>
      <c r="H144" s="24"/>
    </row>
    <row r="145" spans="2:8" ht="15.75" thickBot="1" x14ac:dyDescent="0.3">
      <c r="B145" s="14">
        <f>SUM(B143:B144)</f>
        <v>0</v>
      </c>
      <c r="C145" s="14">
        <f>SUM(C143:C144)</f>
        <v>405.83333333333331</v>
      </c>
      <c r="D145" s="14"/>
      <c r="E145" s="14">
        <f>SUM(E143:E144)</f>
        <v>202.91666666666666</v>
      </c>
      <c r="F145" s="14">
        <f>SUM(F143:F144)</f>
        <v>608.75</v>
      </c>
      <c r="H145" s="20">
        <f>F145</f>
        <v>608.75</v>
      </c>
    </row>
    <row r="146" spans="2:8" ht="15.75" thickTop="1" x14ac:dyDescent="0.25"/>
    <row r="147" spans="2:8" ht="15.75" thickBot="1" x14ac:dyDescent="0.3">
      <c r="B147" s="12"/>
      <c r="C147" s="44">
        <f t="shared" ref="C147:E147" si="1">C19+C26+C32+C39+C46+C50+C58+C65+C69+C81+C85+C91+C96+C102+C106+C111+C116+C122+C130+C136+C145</f>
        <v>37116.356666666659</v>
      </c>
      <c r="D147" s="44"/>
      <c r="E147" s="44">
        <f t="shared" si="1"/>
        <v>14145.213333333335</v>
      </c>
      <c r="F147" s="44">
        <f>F19+F26+F32+F39+F46+F50+F58+F65+F69+F81+F85+F91+F96+F102+F106+F111+F116+F122+F130+F136+F145</f>
        <v>51267.903333333343</v>
      </c>
      <c r="H147" s="19">
        <f>SUM(H19:H145)</f>
        <v>45175.420000000006</v>
      </c>
    </row>
    <row r="148" spans="2:8" ht="15.75" thickTop="1" x14ac:dyDescent="0.25">
      <c r="B148" s="12"/>
      <c r="C148" s="21"/>
      <c r="D148" s="21"/>
      <c r="F148" s="12"/>
      <c r="H148" s="24"/>
    </row>
    <row r="149" spans="2:8" x14ac:dyDescent="0.25">
      <c r="C149" s="7" t="s">
        <v>25</v>
      </c>
      <c r="D149" s="7"/>
      <c r="E149" s="7" t="s">
        <v>26</v>
      </c>
      <c r="F149" s="7" t="s">
        <v>51</v>
      </c>
    </row>
    <row r="150" spans="2:8" ht="15.75" thickBot="1" x14ac:dyDescent="0.3">
      <c r="C150" s="19">
        <f>SUM(C19+C26+C32+C39+C46+C58+C65+C69+C50+C81+C85+C91+C96+C102+C106+C111+C116+C122+C145+C136+C130)</f>
        <v>37116.356666666667</v>
      </c>
      <c r="D150" s="19"/>
      <c r="E150" s="19">
        <f>SUM(E19+E26+E32+E39+E46+E58+E65+E69+E50+E81+E85+E91+E96+E102+E106+E111+E116+E122+E145+E130+E136)</f>
        <v>14145.213333333335</v>
      </c>
      <c r="F150" s="19">
        <f>SUM(C150:E150)</f>
        <v>51261.57</v>
      </c>
    </row>
    <row r="151" spans="2:8" ht="15.75" thickTop="1" x14ac:dyDescent="0.25">
      <c r="C151" s="12"/>
      <c r="D151" s="12"/>
    </row>
  </sheetData>
  <mergeCells count="24">
    <mergeCell ref="G35:G40"/>
    <mergeCell ref="C40:E40"/>
    <mergeCell ref="A83:F83"/>
    <mergeCell ref="A1:F1"/>
    <mergeCell ref="A24:F24"/>
    <mergeCell ref="A30:F30"/>
    <mergeCell ref="A34:F34"/>
    <mergeCell ref="A41:F41"/>
    <mergeCell ref="A48:F48"/>
    <mergeCell ref="A52:F52"/>
    <mergeCell ref="A60:F60"/>
    <mergeCell ref="A67:F67"/>
    <mergeCell ref="A71:F71"/>
    <mergeCell ref="A74:F74"/>
    <mergeCell ref="A120:F120"/>
    <mergeCell ref="A126:F126"/>
    <mergeCell ref="A132:F132"/>
    <mergeCell ref="A141:F141"/>
    <mergeCell ref="A87:F87"/>
    <mergeCell ref="A93:F93"/>
    <mergeCell ref="A98:F98"/>
    <mergeCell ref="A104:F104"/>
    <mergeCell ref="A108:F108"/>
    <mergeCell ref="A114:F114"/>
  </mergeCells>
  <pageMargins left="0.45" right="0.45" top="0.5" bottom="0.5" header="0.3" footer="0.3"/>
  <pageSetup orientation="landscape" r:id="rId1"/>
  <headerFooter>
    <oddFooter>&amp;L&amp;Z&amp;F&amp;A&amp;RUpdated 5/10/12</oddFooter>
  </headerFooter>
  <rowBreaks count="2" manualBreakCount="2">
    <brk id="47" max="16383" man="1"/>
    <brk id="9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Layout" zoomScaleNormal="100" workbookViewId="0">
      <selection sqref="A1:E1"/>
    </sheetView>
  </sheetViews>
  <sheetFormatPr defaultRowHeight="15" x14ac:dyDescent="0.25"/>
  <cols>
    <col min="1" max="1" width="24.28515625" customWidth="1"/>
    <col min="2" max="2" width="10.28515625" customWidth="1"/>
    <col min="3" max="3" width="12" customWidth="1"/>
    <col min="4" max="4" width="10.28515625" customWidth="1"/>
    <col min="5" max="5" width="11.140625" customWidth="1"/>
    <col min="6" max="6" width="2.7109375" customWidth="1"/>
    <col min="7" max="7" width="10.85546875" customWidth="1"/>
    <col min="8" max="8" width="11" customWidth="1"/>
  </cols>
  <sheetData>
    <row r="1" spans="1:8" x14ac:dyDescent="0.25">
      <c r="A1" s="50" t="s">
        <v>143</v>
      </c>
      <c r="B1" s="51"/>
      <c r="C1" s="51"/>
      <c r="D1" s="51"/>
      <c r="E1" s="52"/>
      <c r="H1" s="11"/>
    </row>
    <row r="2" spans="1:8" ht="30" x14ac:dyDescent="0.25">
      <c r="A2" s="1" t="s">
        <v>1</v>
      </c>
      <c r="B2" s="7" t="s">
        <v>42</v>
      </c>
      <c r="C2" s="15" t="s">
        <v>25</v>
      </c>
      <c r="D2" s="15" t="s">
        <v>26</v>
      </c>
      <c r="E2" s="7" t="s">
        <v>24</v>
      </c>
      <c r="G2" s="7" t="s">
        <v>24</v>
      </c>
      <c r="H2" s="7" t="s">
        <v>43</v>
      </c>
    </row>
    <row r="3" spans="1:8" s="29" customFormat="1" x14ac:dyDescent="0.25">
      <c r="A3" s="39" t="s">
        <v>144</v>
      </c>
      <c r="B3" s="35"/>
      <c r="C3" s="40"/>
      <c r="D3" s="40"/>
      <c r="E3" s="35"/>
      <c r="H3" s="35"/>
    </row>
    <row r="4" spans="1:8" s="29" customFormat="1" x14ac:dyDescent="0.25">
      <c r="A4" s="29" t="s">
        <v>145</v>
      </c>
      <c r="B4" s="32">
        <v>3000</v>
      </c>
      <c r="C4" s="33">
        <f>3000/3*2</f>
        <v>2000</v>
      </c>
      <c r="D4" s="33">
        <f>3000/3</f>
        <v>1000</v>
      </c>
      <c r="E4" s="32">
        <f t="shared" ref="E4:E15" si="0">SUM(C4:D4)</f>
        <v>3000</v>
      </c>
      <c r="H4" s="35"/>
    </row>
    <row r="5" spans="1:8" s="29" customFormat="1" x14ac:dyDescent="0.25">
      <c r="A5" s="29" t="s">
        <v>146</v>
      </c>
      <c r="B5" s="32">
        <v>225</v>
      </c>
      <c r="C5" s="33">
        <f>225/3*2</f>
        <v>150</v>
      </c>
      <c r="D5" s="33">
        <f>225/3</f>
        <v>75</v>
      </c>
      <c r="E5" s="32">
        <f t="shared" si="0"/>
        <v>225</v>
      </c>
      <c r="H5" s="35"/>
    </row>
    <row r="6" spans="1:8" s="29" customFormat="1" x14ac:dyDescent="0.25">
      <c r="A6" s="29" t="s">
        <v>147</v>
      </c>
      <c r="B6" s="32">
        <v>75</v>
      </c>
      <c r="C6" s="33">
        <f>75/3*2</f>
        <v>50</v>
      </c>
      <c r="D6" s="33">
        <f>75/3</f>
        <v>25</v>
      </c>
      <c r="E6" s="32">
        <f t="shared" si="0"/>
        <v>75</v>
      </c>
      <c r="H6" s="35"/>
    </row>
    <row r="7" spans="1:8" s="29" customFormat="1" x14ac:dyDescent="0.25">
      <c r="A7" s="29" t="s">
        <v>148</v>
      </c>
      <c r="B7" s="32">
        <v>6350</v>
      </c>
      <c r="C7" s="33">
        <v>6350</v>
      </c>
      <c r="D7" s="33">
        <v>0</v>
      </c>
      <c r="E7" s="32">
        <f t="shared" si="0"/>
        <v>6350</v>
      </c>
      <c r="H7" s="35"/>
    </row>
    <row r="8" spans="1:8" s="29" customFormat="1" x14ac:dyDescent="0.25">
      <c r="A8" s="29" t="s">
        <v>157</v>
      </c>
      <c r="B8" s="32">
        <v>900</v>
      </c>
      <c r="C8" s="33">
        <v>900</v>
      </c>
      <c r="D8" s="36">
        <v>0</v>
      </c>
      <c r="E8" s="32">
        <f t="shared" si="0"/>
        <v>900</v>
      </c>
      <c r="H8" s="35"/>
    </row>
    <row r="9" spans="1:8" s="29" customFormat="1" x14ac:dyDescent="0.25">
      <c r="A9" s="29" t="s">
        <v>149</v>
      </c>
      <c r="B9" s="32">
        <v>700</v>
      </c>
      <c r="C9" s="33">
        <f>700/3*2</f>
        <v>466.66666666666669</v>
      </c>
      <c r="D9" s="33">
        <f>700/3</f>
        <v>233.33333333333334</v>
      </c>
      <c r="E9" s="32">
        <f t="shared" si="0"/>
        <v>700</v>
      </c>
      <c r="H9" s="35"/>
    </row>
    <row r="10" spans="1:8" s="29" customFormat="1" x14ac:dyDescent="0.25">
      <c r="A10" s="29" t="s">
        <v>150</v>
      </c>
      <c r="B10" s="32">
        <v>1100</v>
      </c>
      <c r="C10" s="33">
        <f>1100/3*2</f>
        <v>733.33333333333337</v>
      </c>
      <c r="D10" s="33">
        <f>1100/3</f>
        <v>366.66666666666669</v>
      </c>
      <c r="E10" s="32">
        <f t="shared" si="0"/>
        <v>1100</v>
      </c>
      <c r="H10" s="35"/>
    </row>
    <row r="11" spans="1:8" s="29" customFormat="1" x14ac:dyDescent="0.25">
      <c r="A11" s="29" t="s">
        <v>151</v>
      </c>
      <c r="B11" s="32">
        <v>770</v>
      </c>
      <c r="C11" s="33">
        <v>770</v>
      </c>
      <c r="D11" s="33">
        <v>0</v>
      </c>
      <c r="E11" s="32">
        <f t="shared" si="0"/>
        <v>770</v>
      </c>
      <c r="H11" s="35"/>
    </row>
    <row r="12" spans="1:8" s="29" customFormat="1" x14ac:dyDescent="0.25">
      <c r="A12" s="29" t="s">
        <v>152</v>
      </c>
      <c r="B12" s="32">
        <v>370</v>
      </c>
      <c r="C12" s="33">
        <v>370</v>
      </c>
      <c r="D12" s="33">
        <v>0</v>
      </c>
      <c r="E12" s="32">
        <f t="shared" si="0"/>
        <v>370</v>
      </c>
      <c r="H12" s="35"/>
    </row>
    <row r="13" spans="1:8" s="29" customFormat="1" x14ac:dyDescent="0.25">
      <c r="A13" s="29" t="s">
        <v>155</v>
      </c>
      <c r="B13" s="32">
        <v>135</v>
      </c>
      <c r="C13" s="33">
        <v>135</v>
      </c>
      <c r="D13" s="33">
        <v>0</v>
      </c>
      <c r="E13" s="32">
        <f t="shared" si="0"/>
        <v>135</v>
      </c>
      <c r="H13" s="35"/>
    </row>
    <row r="14" spans="1:8" s="29" customFormat="1" x14ac:dyDescent="0.25">
      <c r="A14" s="29" t="s">
        <v>154</v>
      </c>
      <c r="B14" s="32">
        <v>1500</v>
      </c>
      <c r="C14" s="33">
        <v>1500</v>
      </c>
      <c r="D14" s="33">
        <v>0</v>
      </c>
      <c r="E14" s="32">
        <f t="shared" si="0"/>
        <v>1500</v>
      </c>
      <c r="H14" s="35"/>
    </row>
    <row r="15" spans="1:8" x14ac:dyDescent="0.25">
      <c r="A15" s="29" t="s">
        <v>153</v>
      </c>
      <c r="B15" s="13">
        <v>3520</v>
      </c>
      <c r="C15" s="38">
        <v>3520</v>
      </c>
      <c r="D15" s="33">
        <v>0</v>
      </c>
      <c r="E15" s="13">
        <f t="shared" si="0"/>
        <v>3520</v>
      </c>
      <c r="G15" s="24"/>
      <c r="H15" s="11"/>
    </row>
    <row r="16" spans="1:8" ht="15.75" thickBot="1" x14ac:dyDescent="0.3">
      <c r="B16" s="14">
        <f>SUM(B4:B15)</f>
        <v>18645</v>
      </c>
      <c r="C16" s="41">
        <f>SUM(C4:C15)</f>
        <v>16945</v>
      </c>
      <c r="D16" s="14">
        <f>SUM(D4:D15)</f>
        <v>1700</v>
      </c>
      <c r="E16" s="14">
        <f>SUM(E4:E15)</f>
        <v>18645</v>
      </c>
      <c r="G16" s="24">
        <f>E16</f>
        <v>18645</v>
      </c>
      <c r="H16" s="23"/>
    </row>
    <row r="17" spans="1:8" ht="15.75" thickTop="1" x14ac:dyDescent="0.25"/>
    <row r="18" spans="1:8" ht="30" x14ac:dyDescent="0.25">
      <c r="A18" s="1" t="s">
        <v>1</v>
      </c>
      <c r="B18" s="7" t="s">
        <v>42</v>
      </c>
      <c r="C18" s="15" t="s">
        <v>25</v>
      </c>
      <c r="D18" s="15" t="s">
        <v>26</v>
      </c>
      <c r="E18" s="7" t="s">
        <v>24</v>
      </c>
      <c r="H18" s="11"/>
    </row>
    <row r="19" spans="1:8" s="29" customFormat="1" x14ac:dyDescent="0.25">
      <c r="A19" s="39" t="s">
        <v>156</v>
      </c>
      <c r="B19" s="35"/>
      <c r="C19" s="40"/>
      <c r="D19" s="40"/>
      <c r="E19" s="35"/>
      <c r="H19" s="35"/>
    </row>
    <row r="20" spans="1:8" s="29" customFormat="1" x14ac:dyDescent="0.25">
      <c r="A20" s="29" t="s">
        <v>148</v>
      </c>
      <c r="B20" s="32">
        <v>6350</v>
      </c>
      <c r="C20" s="33">
        <v>0</v>
      </c>
      <c r="D20" s="33">
        <v>6350</v>
      </c>
      <c r="E20" s="32">
        <f t="shared" ref="E20:E27" si="1">SUM(C20:D20)</f>
        <v>6350</v>
      </c>
      <c r="H20" s="35"/>
    </row>
    <row r="21" spans="1:8" s="29" customFormat="1" x14ac:dyDescent="0.25">
      <c r="A21" s="29" t="s">
        <v>158</v>
      </c>
      <c r="B21" s="32">
        <v>150</v>
      </c>
      <c r="C21" s="33">
        <v>0</v>
      </c>
      <c r="D21" s="33">
        <v>150</v>
      </c>
      <c r="E21" s="32">
        <f t="shared" si="1"/>
        <v>150</v>
      </c>
      <c r="H21" s="35"/>
    </row>
    <row r="22" spans="1:8" s="29" customFormat="1" x14ac:dyDescent="0.25">
      <c r="A22" s="29" t="s">
        <v>159</v>
      </c>
      <c r="B22" s="32">
        <v>980</v>
      </c>
      <c r="C22" s="33">
        <v>0</v>
      </c>
      <c r="D22" s="33">
        <v>980</v>
      </c>
      <c r="E22" s="32">
        <f t="shared" si="1"/>
        <v>980</v>
      </c>
      <c r="H22" s="35"/>
    </row>
    <row r="23" spans="1:8" s="29" customFormat="1" x14ac:dyDescent="0.25">
      <c r="A23" s="29" t="s">
        <v>151</v>
      </c>
      <c r="B23" s="32">
        <v>770</v>
      </c>
      <c r="C23" s="33" t="s">
        <v>160</v>
      </c>
      <c r="D23" s="33">
        <v>770</v>
      </c>
      <c r="E23" s="32">
        <f t="shared" si="1"/>
        <v>770</v>
      </c>
      <c r="H23" s="35"/>
    </row>
    <row r="24" spans="1:8" s="29" customFormat="1" x14ac:dyDescent="0.25">
      <c r="A24" s="29" t="s">
        <v>152</v>
      </c>
      <c r="B24" s="32">
        <v>370</v>
      </c>
      <c r="C24" s="33">
        <v>0</v>
      </c>
      <c r="D24" s="33">
        <v>370</v>
      </c>
      <c r="E24" s="32">
        <f t="shared" si="1"/>
        <v>370</v>
      </c>
      <c r="H24" s="35"/>
    </row>
    <row r="25" spans="1:8" s="29" customFormat="1" x14ac:dyDescent="0.25">
      <c r="A25" s="29" t="s">
        <v>155</v>
      </c>
      <c r="B25" s="32">
        <v>135</v>
      </c>
      <c r="C25" s="33">
        <v>0</v>
      </c>
      <c r="D25" s="33">
        <v>135</v>
      </c>
      <c r="E25" s="32">
        <f t="shared" si="1"/>
        <v>135</v>
      </c>
      <c r="H25" s="35"/>
    </row>
    <row r="26" spans="1:8" s="29" customFormat="1" x14ac:dyDescent="0.25">
      <c r="A26" s="29" t="s">
        <v>154</v>
      </c>
      <c r="B26" s="32">
        <v>500</v>
      </c>
      <c r="C26" s="33">
        <v>0</v>
      </c>
      <c r="D26" s="33">
        <v>500</v>
      </c>
      <c r="E26" s="32">
        <f t="shared" si="1"/>
        <v>500</v>
      </c>
      <c r="H26" s="35"/>
    </row>
    <row r="27" spans="1:8" x14ac:dyDescent="0.25">
      <c r="A27" s="29" t="s">
        <v>153</v>
      </c>
      <c r="B27" s="13">
        <v>1500</v>
      </c>
      <c r="C27" s="38">
        <v>0</v>
      </c>
      <c r="D27" s="38">
        <v>1500</v>
      </c>
      <c r="E27" s="13">
        <f t="shared" si="1"/>
        <v>1500</v>
      </c>
      <c r="G27" s="24"/>
      <c r="H27" s="11"/>
    </row>
    <row r="28" spans="1:8" ht="15.75" thickBot="1" x14ac:dyDescent="0.3">
      <c r="B28" s="14">
        <f>SUM(B20:B27)</f>
        <v>10755</v>
      </c>
      <c r="C28" s="42">
        <v>0</v>
      </c>
      <c r="D28" s="41">
        <f>SUM(D20:D27)</f>
        <v>10755</v>
      </c>
      <c r="E28" s="14">
        <f>SUM(E20:E27)</f>
        <v>10755</v>
      </c>
      <c r="G28" s="24">
        <f>E28</f>
        <v>10755</v>
      </c>
      <c r="H28" s="23"/>
    </row>
    <row r="29" spans="1:8" ht="15.75" thickTop="1" x14ac:dyDescent="0.25"/>
    <row r="30" spans="1:8" ht="30" x14ac:dyDescent="0.25">
      <c r="A30" s="1" t="s">
        <v>1</v>
      </c>
      <c r="B30" s="7" t="s">
        <v>42</v>
      </c>
      <c r="C30" s="15" t="s">
        <v>25</v>
      </c>
      <c r="D30" s="15" t="s">
        <v>26</v>
      </c>
      <c r="E30" s="7" t="s">
        <v>24</v>
      </c>
      <c r="H30" s="11"/>
    </row>
    <row r="31" spans="1:8" s="29" customFormat="1" x14ac:dyDescent="0.25">
      <c r="A31" s="39" t="s">
        <v>161</v>
      </c>
      <c r="B31" s="35"/>
      <c r="C31" s="40"/>
      <c r="D31" s="40"/>
      <c r="E31" s="35"/>
      <c r="H31" s="35"/>
    </row>
    <row r="32" spans="1:8" s="29" customFormat="1" x14ac:dyDescent="0.25">
      <c r="A32" s="29" t="s">
        <v>162</v>
      </c>
      <c r="B32" s="32">
        <v>1085</v>
      </c>
      <c r="C32" s="33">
        <f>1085/3*2</f>
        <v>723.33333333333337</v>
      </c>
      <c r="D32" s="33">
        <f>1085/3</f>
        <v>361.66666666666669</v>
      </c>
      <c r="E32" s="32">
        <f>SUM(C32:D32)</f>
        <v>1085</v>
      </c>
      <c r="H32" s="35"/>
    </row>
    <row r="33" spans="1:8" s="29" customFormat="1" x14ac:dyDescent="0.25">
      <c r="A33" s="29" t="s">
        <v>163</v>
      </c>
      <c r="B33" s="32">
        <v>1975</v>
      </c>
      <c r="C33" s="33">
        <v>1975</v>
      </c>
      <c r="D33" s="33">
        <v>0</v>
      </c>
      <c r="E33" s="32">
        <f>SUM(C33:D33)</f>
        <v>1975</v>
      </c>
      <c r="H33" s="35"/>
    </row>
    <row r="34" spans="1:8" s="29" customFormat="1" x14ac:dyDescent="0.25">
      <c r="A34" s="29" t="s">
        <v>164</v>
      </c>
      <c r="B34" s="32">
        <v>875</v>
      </c>
      <c r="C34" s="33">
        <v>875</v>
      </c>
      <c r="D34" s="33">
        <v>0</v>
      </c>
      <c r="E34" s="32">
        <f>SUM(C34:D34)</f>
        <v>875</v>
      </c>
      <c r="H34" s="35"/>
    </row>
    <row r="35" spans="1:8" s="29" customFormat="1" x14ac:dyDescent="0.25">
      <c r="A35" s="29" t="s">
        <v>165</v>
      </c>
      <c r="B35" s="32">
        <v>310</v>
      </c>
      <c r="C35" s="33">
        <v>310</v>
      </c>
      <c r="D35" s="33">
        <v>0</v>
      </c>
      <c r="E35" s="32">
        <f>SUM(C35:D35)</f>
        <v>310</v>
      </c>
      <c r="H35" s="35"/>
    </row>
    <row r="36" spans="1:8" x14ac:dyDescent="0.25">
      <c r="A36" s="29" t="s">
        <v>153</v>
      </c>
      <c r="B36" s="13">
        <v>1500</v>
      </c>
      <c r="C36" s="13">
        <v>1500</v>
      </c>
      <c r="D36" s="38">
        <v>0</v>
      </c>
      <c r="E36" s="13">
        <f>SUM(C36:D36)</f>
        <v>1500</v>
      </c>
      <c r="G36" s="24"/>
      <c r="H36" s="11"/>
    </row>
    <row r="37" spans="1:8" ht="15.75" thickBot="1" x14ac:dyDescent="0.3">
      <c r="B37" s="14">
        <f>SUM(B32:B36)</f>
        <v>5745</v>
      </c>
      <c r="C37" s="14">
        <f>SUM(C32:C36)</f>
        <v>5383.3333333333339</v>
      </c>
      <c r="D37" s="41">
        <f>SUM(D32:D36)</f>
        <v>361.66666666666669</v>
      </c>
      <c r="E37" s="14">
        <f>SUM(E32:E36)</f>
        <v>5745</v>
      </c>
      <c r="G37" s="24">
        <f>E37</f>
        <v>5745</v>
      </c>
      <c r="H37" s="23"/>
    </row>
    <row r="38" spans="1:8" ht="15.75" thickTop="1" x14ac:dyDescent="0.25"/>
    <row r="39" spans="1:8" ht="30" x14ac:dyDescent="0.25">
      <c r="A39" s="1" t="s">
        <v>1</v>
      </c>
      <c r="B39" s="7" t="s">
        <v>42</v>
      </c>
      <c r="C39" s="15" t="s">
        <v>25</v>
      </c>
      <c r="D39" s="15" t="s">
        <v>26</v>
      </c>
      <c r="E39" s="7" t="s">
        <v>24</v>
      </c>
      <c r="H39" s="11"/>
    </row>
    <row r="40" spans="1:8" s="29" customFormat="1" x14ac:dyDescent="0.25">
      <c r="A40" s="39" t="s">
        <v>166</v>
      </c>
      <c r="B40" s="35"/>
      <c r="C40" s="40"/>
      <c r="D40" s="40"/>
      <c r="E40" s="35"/>
      <c r="H40" s="35"/>
    </row>
    <row r="41" spans="1:8" s="29" customFormat="1" x14ac:dyDescent="0.25">
      <c r="A41" s="29" t="s">
        <v>167</v>
      </c>
      <c r="B41" s="32">
        <v>545</v>
      </c>
      <c r="C41" s="33">
        <v>0</v>
      </c>
      <c r="D41" s="33">
        <v>545</v>
      </c>
      <c r="E41" s="32">
        <f t="shared" ref="E41:E46" si="2">SUM(C41:D41)</f>
        <v>545</v>
      </c>
      <c r="H41" s="35"/>
    </row>
    <row r="42" spans="1:8" s="29" customFormat="1" x14ac:dyDescent="0.25">
      <c r="A42" s="29" t="s">
        <v>168</v>
      </c>
      <c r="B42" s="32">
        <v>395</v>
      </c>
      <c r="C42" s="33">
        <v>0</v>
      </c>
      <c r="D42" s="33">
        <v>395</v>
      </c>
      <c r="E42" s="32">
        <f t="shared" si="2"/>
        <v>395</v>
      </c>
      <c r="H42" s="35"/>
    </row>
    <row r="43" spans="1:8" s="29" customFormat="1" x14ac:dyDescent="0.25">
      <c r="A43" s="29" t="s">
        <v>169</v>
      </c>
      <c r="B43" s="32">
        <v>125</v>
      </c>
      <c r="C43" s="33">
        <v>0</v>
      </c>
      <c r="D43" s="33">
        <v>125</v>
      </c>
      <c r="E43" s="32">
        <f t="shared" si="2"/>
        <v>125</v>
      </c>
      <c r="H43" s="35"/>
    </row>
    <row r="44" spans="1:8" s="29" customFormat="1" x14ac:dyDescent="0.25">
      <c r="A44" s="29" t="s">
        <v>170</v>
      </c>
      <c r="B44" s="32">
        <v>330</v>
      </c>
      <c r="C44" s="33">
        <v>0</v>
      </c>
      <c r="D44" s="33">
        <v>330</v>
      </c>
      <c r="E44" s="32">
        <f t="shared" si="2"/>
        <v>330</v>
      </c>
      <c r="H44" s="35"/>
    </row>
    <row r="45" spans="1:8" s="29" customFormat="1" x14ac:dyDescent="0.25">
      <c r="A45" s="29" t="s">
        <v>171</v>
      </c>
      <c r="B45" s="32">
        <v>450</v>
      </c>
      <c r="C45" s="33">
        <v>0</v>
      </c>
      <c r="D45" s="33">
        <v>450</v>
      </c>
      <c r="E45" s="32">
        <f t="shared" si="2"/>
        <v>450</v>
      </c>
      <c r="H45" s="35"/>
    </row>
    <row r="46" spans="1:8" x14ac:dyDescent="0.25">
      <c r="A46" s="29" t="s">
        <v>153</v>
      </c>
      <c r="B46" s="13">
        <v>1500</v>
      </c>
      <c r="C46" s="38">
        <v>0</v>
      </c>
      <c r="D46" s="38">
        <v>1500</v>
      </c>
      <c r="E46" s="13">
        <f t="shared" si="2"/>
        <v>1500</v>
      </c>
      <c r="G46" s="24"/>
      <c r="H46" s="11"/>
    </row>
    <row r="47" spans="1:8" ht="15.75" thickBot="1" x14ac:dyDescent="0.3">
      <c r="B47" s="14">
        <f>SUM(B41:B46)</f>
        <v>3345</v>
      </c>
      <c r="C47" s="41">
        <f>SUM(C41:C46)</f>
        <v>0</v>
      </c>
      <c r="D47" s="41">
        <f>SUM(D41:D46)</f>
        <v>3345</v>
      </c>
      <c r="E47" s="14">
        <f>SUM(E41:E46)</f>
        <v>3345</v>
      </c>
      <c r="G47" s="24">
        <f>E47</f>
        <v>3345</v>
      </c>
      <c r="H47" s="23"/>
    </row>
    <row r="48" spans="1:8" ht="15.75" thickTop="1" x14ac:dyDescent="0.25"/>
    <row r="49" spans="1:8" ht="30" x14ac:dyDescent="0.25">
      <c r="A49" s="1" t="s">
        <v>1</v>
      </c>
      <c r="B49" s="7" t="s">
        <v>42</v>
      </c>
      <c r="C49" s="15" t="s">
        <v>25</v>
      </c>
      <c r="D49" s="15" t="s">
        <v>26</v>
      </c>
      <c r="E49" s="7" t="s">
        <v>24</v>
      </c>
      <c r="H49" s="11"/>
    </row>
    <row r="50" spans="1:8" s="29" customFormat="1" x14ac:dyDescent="0.25">
      <c r="A50" s="29" t="s">
        <v>172</v>
      </c>
      <c r="B50" s="32">
        <v>137.5</v>
      </c>
      <c r="C50" s="33">
        <f>21*5.5</f>
        <v>115.5</v>
      </c>
      <c r="D50" s="33">
        <f>4*5.5</f>
        <v>22</v>
      </c>
      <c r="E50" s="32">
        <f>SUM(C50:D50)</f>
        <v>137.5</v>
      </c>
      <c r="H50" s="35"/>
    </row>
    <row r="51" spans="1:8" x14ac:dyDescent="0.25">
      <c r="A51" s="29" t="s">
        <v>173</v>
      </c>
      <c r="B51" s="13">
        <v>52.5</v>
      </c>
      <c r="C51" s="38">
        <f>52.5/3*2</f>
        <v>35</v>
      </c>
      <c r="D51" s="38">
        <f>52.5/3</f>
        <v>17.5</v>
      </c>
      <c r="E51" s="13">
        <f>SUM(C51:D51)</f>
        <v>52.5</v>
      </c>
      <c r="G51" s="24"/>
      <c r="H51" s="11"/>
    </row>
    <row r="52" spans="1:8" ht="15.75" thickBot="1" x14ac:dyDescent="0.3">
      <c r="B52" s="14">
        <f>SUM(B50:B51)</f>
        <v>190</v>
      </c>
      <c r="C52" s="41">
        <f>SUM(C50:C51)</f>
        <v>150.5</v>
      </c>
      <c r="D52" s="41">
        <f>SUM(D50:D51)</f>
        <v>39.5</v>
      </c>
      <c r="E52" s="14">
        <f>SUM(E50:E51)</f>
        <v>190</v>
      </c>
      <c r="G52" s="20">
        <f>E52</f>
        <v>190</v>
      </c>
      <c r="H52" s="23"/>
    </row>
    <row r="53" spans="1:8" ht="16.5" thickTop="1" thickBot="1" x14ac:dyDescent="0.3">
      <c r="G53" s="26">
        <f>SUM(G16:G52)</f>
        <v>38680</v>
      </c>
      <c r="H53" s="22">
        <v>41018</v>
      </c>
    </row>
    <row r="54" spans="1:8" ht="15.75" thickTop="1" x14ac:dyDescent="0.25"/>
    <row r="55" spans="1:8" ht="30" x14ac:dyDescent="0.25">
      <c r="C55" s="15" t="s">
        <v>25</v>
      </c>
      <c r="D55" s="15" t="s">
        <v>26</v>
      </c>
      <c r="E55" s="7" t="s">
        <v>51</v>
      </c>
    </row>
    <row r="56" spans="1:8" ht="15.75" thickBot="1" x14ac:dyDescent="0.3">
      <c r="C56" s="19">
        <f>SUM(C16+C28+C37+C47+C52)</f>
        <v>22478.833333333336</v>
      </c>
      <c r="D56" s="19">
        <f>SUM(D16+D28+D37+D47+D52)</f>
        <v>16201.166666666666</v>
      </c>
      <c r="E56" s="19">
        <f>SUM(C56:D56)</f>
        <v>38680</v>
      </c>
    </row>
    <row r="57" spans="1:8" ht="15.75" thickTop="1" x14ac:dyDescent="0.25"/>
  </sheetData>
  <mergeCells count="1">
    <mergeCell ref="A1:E1"/>
  </mergeCells>
  <pageMargins left="0.45" right="0.45" top="1.25" bottom="1.25" header="0.3" footer="0.3"/>
  <pageSetup orientation="portrait" r:id="rId1"/>
  <headerFooter>
    <oddFooter>&amp;L&amp;Z&amp;F&amp;A&amp;R4/16/12</oddFooter>
  </headerFooter>
  <ignoredErrors>
    <ignoredError sqref="E7:E8 E20:E22 E11:E15 E24:E27 E33:E36 E41:E4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view="pageLayout" zoomScaleNormal="100" workbookViewId="0">
      <selection sqref="A1:E1"/>
    </sheetView>
  </sheetViews>
  <sheetFormatPr defaultRowHeight="15" x14ac:dyDescent="0.25"/>
  <cols>
    <col min="1" max="1" width="17.7109375" customWidth="1"/>
    <col min="2" max="2" width="12.42578125" customWidth="1"/>
    <col min="3" max="3" width="13.28515625" customWidth="1"/>
    <col min="4" max="4" width="12.42578125" customWidth="1"/>
    <col min="5" max="5" width="10.42578125" customWidth="1"/>
    <col min="6" max="6" width="2.85546875" customWidth="1"/>
    <col min="7" max="7" width="10.85546875" customWidth="1"/>
    <col min="8" max="8" width="11.140625" customWidth="1"/>
  </cols>
  <sheetData>
    <row r="1" spans="1:8" x14ac:dyDescent="0.25">
      <c r="A1" s="50" t="s">
        <v>62</v>
      </c>
      <c r="B1" s="51"/>
      <c r="C1" s="51"/>
      <c r="D1" s="51"/>
      <c r="E1" s="52"/>
      <c r="G1" s="8" t="s">
        <v>24</v>
      </c>
      <c r="H1" s="8" t="s">
        <v>43</v>
      </c>
    </row>
    <row r="2" spans="1:8" x14ac:dyDescent="0.25">
      <c r="A2" s="1" t="s">
        <v>1</v>
      </c>
      <c r="B2" s="7" t="s">
        <v>42</v>
      </c>
      <c r="C2" s="15" t="s">
        <v>25</v>
      </c>
      <c r="D2" s="15" t="s">
        <v>26</v>
      </c>
      <c r="E2" s="7" t="s">
        <v>24</v>
      </c>
    </row>
    <row r="3" spans="1:8" x14ac:dyDescent="0.25">
      <c r="A3" t="s">
        <v>63</v>
      </c>
      <c r="B3" s="12">
        <v>237.5</v>
      </c>
      <c r="C3" s="12">
        <f>237.5/3*2</f>
        <v>158.33333333333334</v>
      </c>
      <c r="D3" s="12">
        <f>237.5/3</f>
        <v>79.166666666666671</v>
      </c>
      <c r="E3" s="16">
        <f>SUM(C3:D3)</f>
        <v>237.5</v>
      </c>
    </row>
    <row r="4" spans="1:8" x14ac:dyDescent="0.25">
      <c r="A4" t="s">
        <v>41</v>
      </c>
      <c r="B4" s="13">
        <v>165</v>
      </c>
      <c r="C4" s="13">
        <f>165/3*2</f>
        <v>110</v>
      </c>
      <c r="D4" s="13">
        <f>165/3</f>
        <v>55</v>
      </c>
      <c r="E4" s="20">
        <f>SUM(C4:D4)</f>
        <v>165</v>
      </c>
    </row>
    <row r="5" spans="1:8" ht="15.75" thickBot="1" x14ac:dyDescent="0.3">
      <c r="B5" s="26">
        <f>SUM(B3:B4)</f>
        <v>402.5</v>
      </c>
      <c r="C5" s="26">
        <f>SUM(C3:C4)</f>
        <v>268.33333333333337</v>
      </c>
      <c r="D5" s="26">
        <f>SUM(D3:D4)</f>
        <v>134.16666666666669</v>
      </c>
      <c r="E5" s="26">
        <f>SUM(C5:D5)</f>
        <v>402.50000000000006</v>
      </c>
      <c r="G5" s="2">
        <f>E5</f>
        <v>402.50000000000006</v>
      </c>
      <c r="H5" s="22">
        <v>40969</v>
      </c>
    </row>
    <row r="6" spans="1:8" ht="15.75" thickTop="1" x14ac:dyDescent="0.25">
      <c r="B6" s="24"/>
      <c r="C6" s="24"/>
      <c r="D6" s="24"/>
      <c r="E6" s="24"/>
      <c r="G6" s="2"/>
      <c r="H6" s="22"/>
    </row>
    <row r="7" spans="1:8" x14ac:dyDescent="0.25">
      <c r="A7" s="50" t="s">
        <v>72</v>
      </c>
      <c r="B7" s="51"/>
      <c r="C7" s="51"/>
      <c r="D7" s="51"/>
      <c r="E7" s="52"/>
      <c r="G7" s="2"/>
      <c r="H7" s="22"/>
    </row>
    <row r="8" spans="1:8" x14ac:dyDescent="0.25">
      <c r="A8" s="1" t="s">
        <v>1</v>
      </c>
      <c r="B8" s="7" t="s">
        <v>42</v>
      </c>
      <c r="C8" s="15" t="s">
        <v>25</v>
      </c>
      <c r="D8" s="15" t="s">
        <v>26</v>
      </c>
      <c r="E8" s="7" t="s">
        <v>24</v>
      </c>
      <c r="G8" s="2"/>
      <c r="H8" s="22"/>
    </row>
    <row r="9" spans="1:8" x14ac:dyDescent="0.25">
      <c r="A9" s="10" t="s">
        <v>64</v>
      </c>
      <c r="B9" s="21">
        <v>4346</v>
      </c>
      <c r="C9" s="21">
        <f>4346/3*2</f>
        <v>2897.3333333333335</v>
      </c>
      <c r="D9" s="21">
        <f>4346/3</f>
        <v>1448.6666666666667</v>
      </c>
      <c r="E9" s="21">
        <f>SUM(C9:D9)</f>
        <v>4346</v>
      </c>
      <c r="G9" s="21"/>
      <c r="H9" s="22"/>
    </row>
    <row r="10" spans="1:8" x14ac:dyDescent="0.25">
      <c r="A10" t="s">
        <v>65</v>
      </c>
      <c r="B10" s="12">
        <v>1124</v>
      </c>
      <c r="C10" s="12">
        <f>1124/3*2</f>
        <v>749.33333333333337</v>
      </c>
      <c r="D10" s="12">
        <f>1124/3</f>
        <v>374.66666666666669</v>
      </c>
      <c r="E10" s="12">
        <f>SUM(C10:D10)</f>
        <v>1124</v>
      </c>
      <c r="G10" s="12"/>
    </row>
    <row r="11" spans="1:8" ht="15.75" thickBot="1" x14ac:dyDescent="0.3">
      <c r="B11" s="26">
        <f>SUM(B9:B10)</f>
        <v>5470</v>
      </c>
      <c r="C11" s="26">
        <f>SUM(C9:C10)</f>
        <v>3646.666666666667</v>
      </c>
      <c r="D11" s="26">
        <f>SUM(D9:D10)</f>
        <v>1823.3333333333335</v>
      </c>
      <c r="E11" s="26">
        <f>SUM(C11:D11)</f>
        <v>5470</v>
      </c>
      <c r="G11" s="16">
        <f>E11</f>
        <v>5470</v>
      </c>
      <c r="H11" s="22">
        <v>40976</v>
      </c>
    </row>
    <row r="12" spans="1:8" ht="15.75" thickTop="1" x14ac:dyDescent="0.25">
      <c r="B12" s="24"/>
      <c r="C12" s="24"/>
      <c r="D12" s="24"/>
      <c r="E12" s="24"/>
      <c r="G12" s="16"/>
      <c r="H12" s="22"/>
    </row>
    <row r="13" spans="1:8" x14ac:dyDescent="0.25">
      <c r="A13" s="50" t="s">
        <v>76</v>
      </c>
      <c r="B13" s="51"/>
      <c r="C13" s="51"/>
      <c r="D13" s="51"/>
      <c r="E13" s="52"/>
      <c r="G13" s="2"/>
      <c r="H13" s="22"/>
    </row>
    <row r="14" spans="1:8" x14ac:dyDescent="0.25">
      <c r="A14" s="1" t="s">
        <v>1</v>
      </c>
      <c r="B14" s="7" t="s">
        <v>42</v>
      </c>
      <c r="C14" s="15" t="s">
        <v>25</v>
      </c>
      <c r="D14" s="15" t="s">
        <v>26</v>
      </c>
      <c r="E14" s="7" t="s">
        <v>24</v>
      </c>
      <c r="G14" s="2"/>
      <c r="H14" s="22"/>
    </row>
    <row r="15" spans="1:8" ht="15.75" thickBot="1" x14ac:dyDescent="0.3">
      <c r="A15" t="s">
        <v>66</v>
      </c>
      <c r="B15" s="26">
        <v>1354.51</v>
      </c>
      <c r="C15" s="26">
        <f>1354.51/3*2</f>
        <v>903.00666666666666</v>
      </c>
      <c r="D15" s="26">
        <f>1354.51/3</f>
        <v>451.50333333333333</v>
      </c>
      <c r="E15" s="26">
        <f>SUM(C15:D15)</f>
        <v>1354.51</v>
      </c>
      <c r="G15" s="16">
        <f>E15</f>
        <v>1354.51</v>
      </c>
      <c r="H15" s="22">
        <v>40984</v>
      </c>
    </row>
    <row r="16" spans="1:8" ht="15.75" thickTop="1" x14ac:dyDescent="0.25">
      <c r="B16" s="24"/>
      <c r="C16" s="24"/>
      <c r="D16" s="24"/>
      <c r="E16" s="24"/>
      <c r="G16" s="16"/>
      <c r="H16" s="22"/>
    </row>
    <row r="17" spans="1:8" x14ac:dyDescent="0.25">
      <c r="A17" s="50" t="s">
        <v>80</v>
      </c>
      <c r="B17" s="51"/>
      <c r="C17" s="51"/>
      <c r="D17" s="51"/>
      <c r="E17" s="52"/>
      <c r="G17" s="2"/>
      <c r="H17" s="22"/>
    </row>
    <row r="18" spans="1:8" x14ac:dyDescent="0.25">
      <c r="A18" s="1" t="s">
        <v>1</v>
      </c>
      <c r="B18" s="7" t="s">
        <v>42</v>
      </c>
      <c r="C18" s="15" t="s">
        <v>25</v>
      </c>
      <c r="D18" s="15" t="s">
        <v>26</v>
      </c>
      <c r="E18" s="7" t="s">
        <v>24</v>
      </c>
      <c r="G18" s="2"/>
      <c r="H18" s="22"/>
    </row>
    <row r="19" spans="1:8" x14ac:dyDescent="0.25">
      <c r="A19" t="s">
        <v>68</v>
      </c>
      <c r="B19" s="12">
        <v>3929.62</v>
      </c>
      <c r="C19" s="12">
        <f>3929.62/3*2</f>
        <v>2619.7466666666664</v>
      </c>
      <c r="D19" s="12">
        <f>3929.62/3</f>
        <v>1309.8733333333332</v>
      </c>
      <c r="E19" s="12">
        <f>SUM(C19:D19)</f>
        <v>3929.62</v>
      </c>
      <c r="G19" s="12"/>
    </row>
    <row r="20" spans="1:8" x14ac:dyDescent="0.25">
      <c r="A20" t="s">
        <v>69</v>
      </c>
      <c r="B20" s="12">
        <v>449.98</v>
      </c>
      <c r="C20" s="12">
        <f>449.98/3*2</f>
        <v>299.98666666666668</v>
      </c>
      <c r="D20" s="12">
        <f>449.98/3</f>
        <v>149.99333333333334</v>
      </c>
      <c r="E20" s="12">
        <f>SUM(C20:D20)</f>
        <v>449.98</v>
      </c>
      <c r="G20" s="12"/>
    </row>
    <row r="21" spans="1:8" ht="15.75" thickBot="1" x14ac:dyDescent="0.3">
      <c r="B21" s="26">
        <f>SUM(B19:B20)</f>
        <v>4379.6000000000004</v>
      </c>
      <c r="C21" s="26">
        <f>SUM(C19:C20)</f>
        <v>2919.7333333333331</v>
      </c>
      <c r="D21" s="26">
        <f>SUM(D19:D20)</f>
        <v>1459.8666666666666</v>
      </c>
      <c r="E21" s="26">
        <f>SUM(C21:D21)</f>
        <v>4379.5999999999995</v>
      </c>
      <c r="G21" s="16">
        <f>E21</f>
        <v>4379.5999999999995</v>
      </c>
      <c r="H21" s="22">
        <v>40984</v>
      </c>
    </row>
    <row r="22" spans="1:8" ht="15.75" thickTop="1" x14ac:dyDescent="0.25">
      <c r="B22" s="24"/>
      <c r="C22" s="24"/>
      <c r="D22" s="24"/>
      <c r="E22" s="24"/>
      <c r="G22" s="16"/>
      <c r="H22" s="22"/>
    </row>
    <row r="23" spans="1:8" x14ac:dyDescent="0.25">
      <c r="A23" s="50" t="s">
        <v>78</v>
      </c>
      <c r="B23" s="51"/>
      <c r="C23" s="51"/>
      <c r="D23" s="51"/>
      <c r="E23" s="52"/>
      <c r="G23" s="2"/>
      <c r="H23" s="22"/>
    </row>
    <row r="24" spans="1:8" x14ac:dyDescent="0.25">
      <c r="A24" s="1" t="s">
        <v>1</v>
      </c>
      <c r="B24" s="7" t="s">
        <v>42</v>
      </c>
      <c r="C24" s="15" t="s">
        <v>25</v>
      </c>
      <c r="D24" s="15" t="s">
        <v>26</v>
      </c>
      <c r="E24" s="7" t="s">
        <v>24</v>
      </c>
      <c r="G24" s="2"/>
      <c r="H24" s="22"/>
    </row>
    <row r="25" spans="1:8" ht="15.75" thickBot="1" x14ac:dyDescent="0.3">
      <c r="A25" t="s">
        <v>70</v>
      </c>
      <c r="B25" s="18">
        <v>18099.25</v>
      </c>
      <c r="C25" s="18">
        <f>18099.25/3*2</f>
        <v>12066.166666666666</v>
      </c>
      <c r="D25" s="18">
        <f>18099.25/3</f>
        <v>6033.083333333333</v>
      </c>
      <c r="E25" s="18">
        <f>SUM(C25:D25)</f>
        <v>18099.25</v>
      </c>
      <c r="G25" s="12">
        <f>E25</f>
        <v>18099.25</v>
      </c>
      <c r="H25" s="22">
        <v>40984</v>
      </c>
    </row>
    <row r="26" spans="1:8" ht="15.75" thickTop="1" x14ac:dyDescent="0.25">
      <c r="B26" s="24"/>
      <c r="C26" s="24"/>
      <c r="D26" s="24"/>
      <c r="E26" s="24"/>
      <c r="G26" s="16"/>
      <c r="H26" s="22"/>
    </row>
    <row r="27" spans="1:8" x14ac:dyDescent="0.25">
      <c r="A27" s="50" t="s">
        <v>79</v>
      </c>
      <c r="B27" s="51"/>
      <c r="C27" s="51"/>
      <c r="D27" s="51"/>
      <c r="E27" s="52"/>
      <c r="G27" s="2"/>
      <c r="H27" s="22"/>
    </row>
    <row r="28" spans="1:8" x14ac:dyDescent="0.25">
      <c r="A28" s="1" t="s">
        <v>1</v>
      </c>
      <c r="B28" s="7" t="s">
        <v>42</v>
      </c>
      <c r="C28" s="15" t="s">
        <v>25</v>
      </c>
      <c r="D28" s="15" t="s">
        <v>26</v>
      </c>
      <c r="E28" s="7" t="s">
        <v>24</v>
      </c>
      <c r="G28" s="2"/>
      <c r="H28" s="22"/>
    </row>
    <row r="29" spans="1:8" ht="15.75" thickBot="1" x14ac:dyDescent="0.3">
      <c r="A29" t="s">
        <v>67</v>
      </c>
      <c r="B29" s="18">
        <v>15443.98</v>
      </c>
      <c r="C29" s="18">
        <f>15443.98/3*2</f>
        <v>10295.986666666666</v>
      </c>
      <c r="D29" s="18">
        <f>15443.98/3</f>
        <v>5147.9933333333329</v>
      </c>
      <c r="E29" s="18">
        <f>SUM(C29:D29)</f>
        <v>15443.98</v>
      </c>
      <c r="G29" s="12">
        <f>E29</f>
        <v>15443.98</v>
      </c>
      <c r="H29" s="22">
        <v>40984</v>
      </c>
    </row>
    <row r="30" spans="1:8" ht="15.75" thickTop="1" x14ac:dyDescent="0.25">
      <c r="B30" s="21"/>
      <c r="C30" s="21"/>
      <c r="D30" s="21"/>
      <c r="E30" s="21"/>
      <c r="G30" s="12"/>
      <c r="H30" s="22"/>
    </row>
    <row r="31" spans="1:8" x14ac:dyDescent="0.25">
      <c r="A31" s="50" t="s">
        <v>108</v>
      </c>
      <c r="B31" s="51"/>
      <c r="C31" s="51"/>
      <c r="D31" s="51"/>
      <c r="E31" s="52"/>
      <c r="H31" s="11"/>
    </row>
    <row r="32" spans="1:8" x14ac:dyDescent="0.25">
      <c r="A32" s="1" t="s">
        <v>1</v>
      </c>
      <c r="B32" s="7" t="s">
        <v>42</v>
      </c>
      <c r="C32" s="15" t="s">
        <v>25</v>
      </c>
      <c r="D32" s="15" t="s">
        <v>26</v>
      </c>
      <c r="E32" s="7" t="s">
        <v>24</v>
      </c>
      <c r="H32" s="11"/>
    </row>
    <row r="33" spans="1:8" ht="15.75" thickBot="1" x14ac:dyDescent="0.3">
      <c r="A33" t="s">
        <v>107</v>
      </c>
      <c r="B33" s="18">
        <v>870</v>
      </c>
      <c r="C33" s="18">
        <f>870/3*2</f>
        <v>580</v>
      </c>
      <c r="D33" s="18">
        <f>870/3</f>
        <v>290</v>
      </c>
      <c r="E33" s="18">
        <f>SUM(C33:D33)</f>
        <v>870</v>
      </c>
      <c r="G33" s="24">
        <f>E33</f>
        <v>870</v>
      </c>
      <c r="H33" s="23">
        <v>40990</v>
      </c>
    </row>
    <row r="34" spans="1:8" ht="15.75" thickTop="1" x14ac:dyDescent="0.25">
      <c r="B34" s="21"/>
      <c r="C34" s="21"/>
      <c r="D34" s="21"/>
      <c r="E34" s="21"/>
      <c r="G34" s="24"/>
      <c r="H34" s="23"/>
    </row>
    <row r="35" spans="1:8" x14ac:dyDescent="0.25">
      <c r="A35" s="50" t="s">
        <v>85</v>
      </c>
      <c r="B35" s="51"/>
      <c r="C35" s="51"/>
      <c r="D35" s="51"/>
      <c r="E35" s="52"/>
      <c r="G35" s="2"/>
      <c r="H35" s="22"/>
    </row>
    <row r="36" spans="1:8" x14ac:dyDescent="0.25">
      <c r="A36" s="1" t="s">
        <v>1</v>
      </c>
      <c r="B36" s="7" t="s">
        <v>42</v>
      </c>
      <c r="C36" s="15" t="s">
        <v>25</v>
      </c>
      <c r="D36" s="15" t="s">
        <v>26</v>
      </c>
      <c r="E36" s="7" t="s">
        <v>24</v>
      </c>
      <c r="G36" s="2"/>
      <c r="H36" s="22"/>
    </row>
    <row r="37" spans="1:8" x14ac:dyDescent="0.25">
      <c r="A37" s="29" t="s">
        <v>86</v>
      </c>
      <c r="B37" s="32">
        <v>311.5</v>
      </c>
      <c r="C37" s="33">
        <f>311.5/3*2</f>
        <v>207.66666666666666</v>
      </c>
      <c r="D37" s="33">
        <f>311.5/3</f>
        <v>103.83333333333333</v>
      </c>
      <c r="E37" s="32">
        <f>SUM(C37:D37)</f>
        <v>311.5</v>
      </c>
      <c r="G37" s="2"/>
      <c r="H37" s="22"/>
    </row>
    <row r="38" spans="1:8" x14ac:dyDescent="0.25">
      <c r="A38" s="29" t="s">
        <v>139</v>
      </c>
      <c r="B38" s="37">
        <v>11</v>
      </c>
      <c r="C38" s="38">
        <f>11/3*2</f>
        <v>7.333333333333333</v>
      </c>
      <c r="D38" s="38">
        <f>11/3</f>
        <v>3.6666666666666665</v>
      </c>
      <c r="E38" s="37">
        <f>SUM(C38:D38)</f>
        <v>11</v>
      </c>
      <c r="G38" s="2"/>
      <c r="H38" s="22"/>
    </row>
    <row r="39" spans="1:8" ht="15.75" thickBot="1" x14ac:dyDescent="0.3">
      <c r="A39" t="s">
        <v>86</v>
      </c>
      <c r="B39" s="18">
        <v>322.5</v>
      </c>
      <c r="C39" s="18">
        <f>322.5/3*2</f>
        <v>215</v>
      </c>
      <c r="D39" s="18">
        <f>322.5/3</f>
        <v>107.5</v>
      </c>
      <c r="E39" s="18">
        <f>SUM(C39:D39)</f>
        <v>322.5</v>
      </c>
      <c r="G39" s="12">
        <f>E39</f>
        <v>322.5</v>
      </c>
      <c r="H39" s="22">
        <v>40990</v>
      </c>
    </row>
    <row r="40" spans="1:8" ht="15.75" thickTop="1" x14ac:dyDescent="0.25">
      <c r="B40" s="21"/>
      <c r="C40" s="21"/>
      <c r="D40" s="21"/>
      <c r="E40" s="21"/>
      <c r="G40" s="12"/>
      <c r="H40" s="22"/>
    </row>
    <row r="41" spans="1:8" x14ac:dyDescent="0.25">
      <c r="A41" s="50" t="s">
        <v>87</v>
      </c>
      <c r="B41" s="51"/>
      <c r="C41" s="51"/>
      <c r="D41" s="51"/>
      <c r="E41" s="52"/>
      <c r="G41" s="2"/>
      <c r="H41" s="22"/>
    </row>
    <row r="42" spans="1:8" x14ac:dyDescent="0.25">
      <c r="A42" s="1" t="s">
        <v>1</v>
      </c>
      <c r="B42" s="7" t="s">
        <v>42</v>
      </c>
      <c r="C42" s="15" t="s">
        <v>25</v>
      </c>
      <c r="D42" s="15" t="s">
        <v>26</v>
      </c>
      <c r="E42" s="7" t="s">
        <v>24</v>
      </c>
      <c r="G42" s="2"/>
      <c r="H42" s="22"/>
    </row>
    <row r="43" spans="1:8" x14ac:dyDescent="0.25">
      <c r="A43" t="s">
        <v>88</v>
      </c>
      <c r="B43" s="21">
        <v>1115.18</v>
      </c>
      <c r="C43" s="21">
        <f>1115.18/3*2</f>
        <v>743.45333333333338</v>
      </c>
      <c r="D43" s="21">
        <f>1115.18/3</f>
        <v>371.72666666666669</v>
      </c>
      <c r="E43" s="21">
        <f>SUM(C43:D43)</f>
        <v>1115.18</v>
      </c>
    </row>
    <row r="44" spans="1:8" x14ac:dyDescent="0.25">
      <c r="A44" t="s">
        <v>41</v>
      </c>
      <c r="B44" s="13">
        <v>55</v>
      </c>
      <c r="C44" s="13">
        <f>55/3*2</f>
        <v>36.666666666666664</v>
      </c>
      <c r="D44" s="13">
        <f>55/3</f>
        <v>18.333333333333332</v>
      </c>
      <c r="E44" s="13">
        <f>SUM(C44:D44)</f>
        <v>55</v>
      </c>
      <c r="G44" s="12"/>
      <c r="H44" s="22"/>
    </row>
    <row r="45" spans="1:8" ht="15.75" thickBot="1" x14ac:dyDescent="0.3">
      <c r="B45" s="14">
        <f>SUM(B43:B44)</f>
        <v>1170.18</v>
      </c>
      <c r="C45" s="14">
        <f>SUM(C43:C44)</f>
        <v>780.12</v>
      </c>
      <c r="D45" s="14">
        <f>SUM(D43:D44)</f>
        <v>390.06</v>
      </c>
      <c r="E45" s="14">
        <f>SUM(E43:E44)</f>
        <v>1170.18</v>
      </c>
      <c r="G45" s="12">
        <f>E45</f>
        <v>1170.18</v>
      </c>
      <c r="H45" s="22">
        <v>40990</v>
      </c>
    </row>
    <row r="46" spans="1:8" ht="15.75" thickTop="1" x14ac:dyDescent="0.25">
      <c r="B46" s="34"/>
      <c r="C46" s="34"/>
      <c r="D46" s="34"/>
      <c r="E46" s="34"/>
      <c r="G46" s="12"/>
      <c r="H46" s="22"/>
    </row>
    <row r="47" spans="1:8" x14ac:dyDescent="0.25">
      <c r="A47" s="50" t="s">
        <v>89</v>
      </c>
      <c r="B47" s="51"/>
      <c r="C47" s="51"/>
      <c r="D47" s="51"/>
      <c r="E47" s="52"/>
      <c r="G47" s="2"/>
      <c r="H47" s="22"/>
    </row>
    <row r="48" spans="1:8" x14ac:dyDescent="0.25">
      <c r="A48" s="1" t="s">
        <v>1</v>
      </c>
      <c r="B48" s="7" t="s">
        <v>42</v>
      </c>
      <c r="C48" s="15" t="s">
        <v>25</v>
      </c>
      <c r="D48" s="15" t="s">
        <v>26</v>
      </c>
      <c r="E48" s="7" t="s">
        <v>24</v>
      </c>
      <c r="G48" s="2"/>
      <c r="H48" s="22"/>
    </row>
    <row r="49" spans="1:8" ht="15.75" thickBot="1" x14ac:dyDescent="0.3">
      <c r="A49" t="s">
        <v>90</v>
      </c>
      <c r="B49" s="18">
        <v>265.23</v>
      </c>
      <c r="C49" s="18">
        <f>265.23/3*2</f>
        <v>176.82000000000002</v>
      </c>
      <c r="D49" s="18">
        <f>265.23/3</f>
        <v>88.410000000000011</v>
      </c>
      <c r="E49" s="18">
        <f>SUM(C49:D49)</f>
        <v>265.23</v>
      </c>
      <c r="G49" s="12">
        <f>E49</f>
        <v>265.23</v>
      </c>
      <c r="H49" s="22">
        <v>40997</v>
      </c>
    </row>
    <row r="50" spans="1:8" ht="15.75" thickTop="1" x14ac:dyDescent="0.25">
      <c r="B50" s="21"/>
      <c r="C50" s="21"/>
      <c r="D50" s="21"/>
      <c r="E50" s="21"/>
      <c r="G50" s="12"/>
      <c r="H50" s="22"/>
    </row>
    <row r="51" spans="1:8" x14ac:dyDescent="0.25">
      <c r="A51" s="50" t="s">
        <v>117</v>
      </c>
      <c r="B51" s="51"/>
      <c r="C51" s="51"/>
      <c r="D51" s="51"/>
      <c r="E51" s="52"/>
    </row>
    <row r="52" spans="1:8" x14ac:dyDescent="0.25">
      <c r="A52" s="1" t="s">
        <v>1</v>
      </c>
      <c r="B52" s="7" t="s">
        <v>42</v>
      </c>
      <c r="C52" s="15" t="s">
        <v>25</v>
      </c>
      <c r="D52" s="15" t="s">
        <v>26</v>
      </c>
      <c r="E52" s="7" t="s">
        <v>24</v>
      </c>
    </row>
    <row r="53" spans="1:8" ht="15.75" thickBot="1" x14ac:dyDescent="0.3">
      <c r="A53" t="s">
        <v>100</v>
      </c>
      <c r="B53" s="18">
        <v>7000</v>
      </c>
      <c r="C53" s="18"/>
      <c r="D53" s="18"/>
      <c r="E53" s="18"/>
      <c r="G53" s="24"/>
      <c r="H53" s="11"/>
    </row>
    <row r="54" spans="1:8" ht="15.75" thickTop="1" x14ac:dyDescent="0.25"/>
    <row r="55" spans="1:8" x14ac:dyDescent="0.25">
      <c r="A55" s="50" t="s">
        <v>118</v>
      </c>
      <c r="B55" s="51"/>
      <c r="C55" s="51"/>
      <c r="D55" s="51"/>
      <c r="E55" s="52"/>
      <c r="G55" s="2"/>
      <c r="H55" s="22"/>
    </row>
    <row r="56" spans="1:8" x14ac:dyDescent="0.25">
      <c r="A56" s="1" t="s">
        <v>1</v>
      </c>
      <c r="B56" s="7" t="s">
        <v>42</v>
      </c>
      <c r="C56" s="15" t="s">
        <v>25</v>
      </c>
      <c r="D56" s="15" t="s">
        <v>26</v>
      </c>
      <c r="E56" s="7" t="s">
        <v>24</v>
      </c>
      <c r="G56" s="2"/>
      <c r="H56" s="22"/>
    </row>
    <row r="57" spans="1:8" x14ac:dyDescent="0.25">
      <c r="A57" s="29" t="s">
        <v>119</v>
      </c>
      <c r="B57" s="35"/>
      <c r="C57" s="33">
        <f>1160/3*2</f>
        <v>773.33333333333337</v>
      </c>
      <c r="D57" s="33">
        <f>1160/3</f>
        <v>386.66666666666669</v>
      </c>
      <c r="E57" s="32">
        <f>SUM(C57:D57)</f>
        <v>1160</v>
      </c>
      <c r="G57" s="2"/>
      <c r="H57" s="22"/>
    </row>
    <row r="58" spans="1:8" s="29" customFormat="1" x14ac:dyDescent="0.25">
      <c r="A58" s="29" t="s">
        <v>120</v>
      </c>
      <c r="B58" s="35"/>
      <c r="C58" s="33">
        <f>1160/3*2</f>
        <v>773.33333333333337</v>
      </c>
      <c r="D58" s="33">
        <f>1160/3</f>
        <v>386.66666666666669</v>
      </c>
      <c r="E58" s="32">
        <f>SUM(C58:D58)</f>
        <v>1160</v>
      </c>
      <c r="G58" s="30"/>
      <c r="H58" s="31"/>
    </row>
    <row r="59" spans="1:8" s="29" customFormat="1" x14ac:dyDescent="0.25">
      <c r="A59" s="29" t="s">
        <v>113</v>
      </c>
      <c r="B59" s="35"/>
      <c r="C59" s="33">
        <f>145/3*2</f>
        <v>96.666666666666671</v>
      </c>
      <c r="D59" s="33">
        <f>145/3</f>
        <v>48.333333333333336</v>
      </c>
      <c r="E59" s="32">
        <f>SUM(C59:D59)</f>
        <v>145</v>
      </c>
      <c r="G59" s="30"/>
      <c r="H59" s="31"/>
    </row>
    <row r="60" spans="1:8" x14ac:dyDescent="0.25">
      <c r="A60" t="s">
        <v>121</v>
      </c>
      <c r="B60" s="21"/>
      <c r="C60" s="21">
        <f>1160/3*2</f>
        <v>773.33333333333337</v>
      </c>
      <c r="D60" s="21">
        <f>1160/3</f>
        <v>386.66666666666669</v>
      </c>
      <c r="E60" s="21">
        <f>SUM(C60:D60)</f>
        <v>1160</v>
      </c>
    </row>
    <row r="61" spans="1:8" x14ac:dyDescent="0.25">
      <c r="A61" t="s">
        <v>122</v>
      </c>
      <c r="B61" s="13"/>
      <c r="C61" s="21">
        <f>1160/3*2</f>
        <v>773.33333333333337</v>
      </c>
      <c r="D61" s="21">
        <f>1160/3</f>
        <v>386.66666666666669</v>
      </c>
      <c r="E61" s="21">
        <f>SUM(C61:D61)</f>
        <v>1160</v>
      </c>
      <c r="G61" s="12"/>
      <c r="H61" s="22"/>
    </row>
    <row r="62" spans="1:8" ht="15.75" thickBot="1" x14ac:dyDescent="0.3">
      <c r="B62" s="14">
        <f>SUM(B60:B61)</f>
        <v>0</v>
      </c>
      <c r="C62" s="14">
        <f>SUM(C57:C61)</f>
        <v>3190.0000000000005</v>
      </c>
      <c r="D62" s="14">
        <f>SUM(D57:D61)</f>
        <v>1595.0000000000002</v>
      </c>
      <c r="E62" s="14">
        <f>SUM(E57:E61)</f>
        <v>4785</v>
      </c>
      <c r="G62" s="12">
        <f>E62</f>
        <v>4785</v>
      </c>
      <c r="H62" s="22">
        <v>41004</v>
      </c>
    </row>
    <row r="63" spans="1:8" ht="15.75" thickTop="1" x14ac:dyDescent="0.25">
      <c r="G63" s="21"/>
    </row>
    <row r="64" spans="1:8" x14ac:dyDescent="0.25">
      <c r="A64" s="50" t="s">
        <v>123</v>
      </c>
      <c r="B64" s="51"/>
      <c r="C64" s="51"/>
      <c r="D64" s="51"/>
      <c r="E64" s="52"/>
      <c r="G64" s="2"/>
      <c r="H64" s="22"/>
    </row>
    <row r="65" spans="1:8" x14ac:dyDescent="0.25">
      <c r="A65" s="1" t="s">
        <v>1</v>
      </c>
      <c r="B65" s="7" t="s">
        <v>42</v>
      </c>
      <c r="C65" s="15" t="s">
        <v>25</v>
      </c>
      <c r="D65" s="15" t="s">
        <v>26</v>
      </c>
      <c r="E65" s="7" t="s">
        <v>24</v>
      </c>
      <c r="G65" s="2"/>
      <c r="H65" s="22"/>
    </row>
    <row r="66" spans="1:8" x14ac:dyDescent="0.25">
      <c r="A66" s="29" t="s">
        <v>124</v>
      </c>
      <c r="B66" s="35"/>
      <c r="C66" s="33">
        <f>1160/3*2</f>
        <v>773.33333333333337</v>
      </c>
      <c r="D66" s="33">
        <f>1160/3</f>
        <v>386.66666666666669</v>
      </c>
      <c r="E66" s="32">
        <f t="shared" ref="E66:E71" si="0">SUM(C66:D66)</f>
        <v>1160</v>
      </c>
      <c r="G66" s="2"/>
      <c r="H66" s="22"/>
    </row>
    <row r="67" spans="1:8" s="29" customFormat="1" x14ac:dyDescent="0.25">
      <c r="A67" s="29" t="s">
        <v>113</v>
      </c>
      <c r="B67" s="35"/>
      <c r="C67" s="33">
        <f>290/3*2</f>
        <v>193.33333333333334</v>
      </c>
      <c r="D67" s="33">
        <f>290/3</f>
        <v>96.666666666666671</v>
      </c>
      <c r="E67" s="32">
        <f t="shared" si="0"/>
        <v>290</v>
      </c>
      <c r="G67" s="30"/>
      <c r="H67" s="31"/>
    </row>
    <row r="68" spans="1:8" s="29" customFormat="1" x14ac:dyDescent="0.25">
      <c r="A68" s="29" t="s">
        <v>125</v>
      </c>
      <c r="B68" s="35"/>
      <c r="C68" s="33">
        <f>1450/3*2</f>
        <v>966.66666666666663</v>
      </c>
      <c r="D68" s="36">
        <f>1450/3</f>
        <v>483.33333333333331</v>
      </c>
      <c r="E68" s="32">
        <f t="shared" si="0"/>
        <v>1450</v>
      </c>
      <c r="G68" s="30"/>
      <c r="H68" s="31"/>
    </row>
    <row r="69" spans="1:8" x14ac:dyDescent="0.25">
      <c r="A69" s="29" t="s">
        <v>126</v>
      </c>
      <c r="B69" s="21"/>
      <c r="C69" s="33">
        <f>1160/3*2</f>
        <v>773.33333333333337</v>
      </c>
      <c r="D69" s="33">
        <f>1160/3</f>
        <v>386.66666666666669</v>
      </c>
      <c r="E69" s="32">
        <f t="shared" si="0"/>
        <v>1160</v>
      </c>
    </row>
    <row r="70" spans="1:8" x14ac:dyDescent="0.25">
      <c r="A70" s="29" t="s">
        <v>127</v>
      </c>
      <c r="B70" s="21"/>
      <c r="C70" s="33">
        <f>1450/3*2</f>
        <v>966.66666666666663</v>
      </c>
      <c r="D70" s="36">
        <f>1450/3</f>
        <v>483.33333333333331</v>
      </c>
      <c r="E70" s="32">
        <f t="shared" si="0"/>
        <v>1450</v>
      </c>
    </row>
    <row r="71" spans="1:8" x14ac:dyDescent="0.25">
      <c r="A71" s="29" t="s">
        <v>128</v>
      </c>
      <c r="B71" s="13"/>
      <c r="C71" s="21">
        <f>1015/3*2</f>
        <v>676.66666666666663</v>
      </c>
      <c r="D71" s="21">
        <f>1015/3</f>
        <v>338.33333333333331</v>
      </c>
      <c r="E71" s="21">
        <f t="shared" si="0"/>
        <v>1015</v>
      </c>
      <c r="G71" s="12"/>
      <c r="H71" s="22"/>
    </row>
    <row r="72" spans="1:8" ht="15.75" thickBot="1" x14ac:dyDescent="0.3">
      <c r="B72" s="14">
        <f>SUM(B69:B71)</f>
        <v>0</v>
      </c>
      <c r="C72" s="14">
        <f>SUM(C66:C71)</f>
        <v>4350</v>
      </c>
      <c r="D72" s="14">
        <f>SUM(D66:D71)</f>
        <v>2175</v>
      </c>
      <c r="E72" s="14">
        <f>SUM(E66:E71)</f>
        <v>6525</v>
      </c>
      <c r="G72" s="21">
        <f>E72</f>
        <v>6525</v>
      </c>
      <c r="H72" s="22">
        <v>41004</v>
      </c>
    </row>
    <row r="73" spans="1:8" ht="15.75" thickTop="1" x14ac:dyDescent="0.25">
      <c r="B73" s="21"/>
      <c r="C73" s="21"/>
      <c r="D73" s="21"/>
      <c r="E73" s="21"/>
      <c r="G73" s="21"/>
      <c r="H73" s="22"/>
    </row>
    <row r="74" spans="1:8" x14ac:dyDescent="0.25">
      <c r="A74" s="50" t="s">
        <v>178</v>
      </c>
      <c r="B74" s="51"/>
      <c r="C74" s="51"/>
      <c r="D74" s="51"/>
      <c r="E74" s="52"/>
      <c r="G74" s="2"/>
      <c r="H74" s="22"/>
    </row>
    <row r="75" spans="1:8" x14ac:dyDescent="0.25">
      <c r="A75" s="1" t="s">
        <v>1</v>
      </c>
      <c r="B75" s="7" t="s">
        <v>42</v>
      </c>
      <c r="C75" s="15" t="s">
        <v>25</v>
      </c>
      <c r="D75" s="15" t="s">
        <v>26</v>
      </c>
      <c r="E75" s="7" t="s">
        <v>24</v>
      </c>
      <c r="G75" s="2"/>
      <c r="H75" s="22"/>
    </row>
    <row r="76" spans="1:8" x14ac:dyDescent="0.25">
      <c r="A76" t="s">
        <v>113</v>
      </c>
      <c r="B76" s="12"/>
      <c r="C76" s="12">
        <f>507.5/3*2</f>
        <v>338.33333333333331</v>
      </c>
      <c r="D76" s="12">
        <f>507.5/3</f>
        <v>169.16666666666666</v>
      </c>
      <c r="E76" s="12">
        <f>SUM(C76:D76)</f>
        <v>507.5</v>
      </c>
      <c r="G76" s="12"/>
    </row>
    <row r="77" spans="1:8" x14ac:dyDescent="0.25">
      <c r="A77" t="s">
        <v>179</v>
      </c>
      <c r="B77" s="12"/>
      <c r="C77" s="12">
        <f>1703.75/3*2</f>
        <v>1135.8333333333333</v>
      </c>
      <c r="D77" s="12">
        <f>1703.75/3</f>
        <v>567.91666666666663</v>
      </c>
      <c r="E77" s="12">
        <f>SUM(C77:D77)</f>
        <v>1703.75</v>
      </c>
      <c r="G77" s="12"/>
    </row>
    <row r="78" spans="1:8" ht="15.75" thickBot="1" x14ac:dyDescent="0.3">
      <c r="B78" s="26">
        <f>SUM(B76:B77)</f>
        <v>0</v>
      </c>
      <c r="C78" s="26">
        <f>SUM(C76:C77)</f>
        <v>1474.1666666666665</v>
      </c>
      <c r="D78" s="26">
        <f>SUM(D76:D77)</f>
        <v>737.08333333333326</v>
      </c>
      <c r="E78" s="26">
        <f>SUM(C78:D78)</f>
        <v>2211.25</v>
      </c>
      <c r="G78" s="24">
        <f>E78</f>
        <v>2211.25</v>
      </c>
      <c r="H78" s="23">
        <v>41025</v>
      </c>
    </row>
    <row r="79" spans="1:8" ht="15.75" thickTop="1" x14ac:dyDescent="0.25">
      <c r="G79" s="21"/>
    </row>
    <row r="80" spans="1:8" x14ac:dyDescent="0.25">
      <c r="A80" s="50" t="s">
        <v>202</v>
      </c>
      <c r="B80" s="51"/>
      <c r="C80" s="51"/>
      <c r="D80" s="51"/>
      <c r="E80" s="52"/>
      <c r="G80" s="2"/>
      <c r="H80" s="22"/>
    </row>
    <row r="81" spans="1:8" x14ac:dyDescent="0.25">
      <c r="A81" s="1" t="s">
        <v>1</v>
      </c>
      <c r="B81" s="7" t="s">
        <v>42</v>
      </c>
      <c r="C81" s="15" t="s">
        <v>25</v>
      </c>
      <c r="D81" s="15" t="s">
        <v>26</v>
      </c>
      <c r="E81" s="7" t="s">
        <v>24</v>
      </c>
      <c r="G81" s="2"/>
      <c r="H81" s="22"/>
    </row>
    <row r="82" spans="1:8" x14ac:dyDescent="0.25">
      <c r="A82" t="s">
        <v>140</v>
      </c>
      <c r="B82" s="12">
        <v>5780.76</v>
      </c>
      <c r="C82" s="12">
        <f>5780.76/3*2</f>
        <v>3853.84</v>
      </c>
      <c r="D82" s="12">
        <f>5780.76/3</f>
        <v>1926.92</v>
      </c>
      <c r="E82" s="12">
        <f>SUM(C82:D82)</f>
        <v>5780.76</v>
      </c>
      <c r="G82" s="12"/>
    </row>
    <row r="83" spans="1:8" x14ac:dyDescent="0.25">
      <c r="A83" t="s">
        <v>139</v>
      </c>
      <c r="B83" s="12">
        <v>30</v>
      </c>
      <c r="C83" s="12">
        <f>30/3*2</f>
        <v>20</v>
      </c>
      <c r="D83" s="12">
        <f>30/3</f>
        <v>10</v>
      </c>
      <c r="E83" s="12">
        <f>SUM(C83:D83)</f>
        <v>30</v>
      </c>
      <c r="G83" s="12"/>
    </row>
    <row r="84" spans="1:8" ht="15.75" thickBot="1" x14ac:dyDescent="0.3">
      <c r="B84" s="26">
        <f>SUM(B82:B83)</f>
        <v>5810.76</v>
      </c>
      <c r="C84" s="26">
        <f>SUM(C82:C83)</f>
        <v>3873.84</v>
      </c>
      <c r="D84" s="26">
        <f>SUM(D82:D83)</f>
        <v>1936.92</v>
      </c>
      <c r="E84" s="26">
        <f>SUM(C84:D84)</f>
        <v>5810.76</v>
      </c>
      <c r="G84" s="20">
        <f>E84</f>
        <v>5810.76</v>
      </c>
      <c r="H84" s="23">
        <v>41046</v>
      </c>
    </row>
    <row r="85" spans="1:8" ht="16.5" thickTop="1" thickBot="1" x14ac:dyDescent="0.3">
      <c r="G85" s="18">
        <f>SUM(G5:G84)</f>
        <v>67109.759999999995</v>
      </c>
    </row>
    <row r="86" spans="1:8" ht="15.75" thickTop="1" x14ac:dyDescent="0.25"/>
    <row r="87" spans="1:8" x14ac:dyDescent="0.25">
      <c r="C87" s="15" t="s">
        <v>25</v>
      </c>
      <c r="D87" s="15" t="s">
        <v>26</v>
      </c>
      <c r="E87" s="7" t="s">
        <v>51</v>
      </c>
    </row>
    <row r="88" spans="1:8" ht="15.75" thickBot="1" x14ac:dyDescent="0.3">
      <c r="C88" s="19">
        <f>SUM(C5+C11+C15+C21+C25+C29+C33+C39+C45+C49+C62+C72+C78+C84)</f>
        <v>44739.839999999997</v>
      </c>
      <c r="D88" s="19">
        <f>SUM(D5+D11+D15+D21+D25+D29+D33+D39+D45+D49+D62+D72+D78+D84)</f>
        <v>22369.919999999998</v>
      </c>
      <c r="E88" s="19">
        <f>SUM(C88:D88)</f>
        <v>67109.759999999995</v>
      </c>
    </row>
    <row r="89" spans="1:8" ht="15.75" thickTop="1" x14ac:dyDescent="0.25"/>
  </sheetData>
  <mergeCells count="15">
    <mergeCell ref="A80:E80"/>
    <mergeCell ref="A55:E55"/>
    <mergeCell ref="A64:E64"/>
    <mergeCell ref="A51:E51"/>
    <mergeCell ref="A1:E1"/>
    <mergeCell ref="A7:E7"/>
    <mergeCell ref="A13:E13"/>
    <mergeCell ref="A23:E23"/>
    <mergeCell ref="A27:E27"/>
    <mergeCell ref="A17:E17"/>
    <mergeCell ref="A35:E35"/>
    <mergeCell ref="A41:E41"/>
    <mergeCell ref="A47:E47"/>
    <mergeCell ref="A31:E31"/>
    <mergeCell ref="A74:E74"/>
  </mergeCells>
  <pageMargins left="0.45" right="0.45" top="0.75" bottom="0.75" header="0.3" footer="0.3"/>
  <pageSetup orientation="portrait" r:id="rId1"/>
  <headerFooter>
    <oddFooter>&amp;L&amp;Z&amp;F&amp;A&amp;RUpdated 5/17/12</oddFooter>
  </headerFooter>
  <ignoredErrors>
    <ignoredError sqref="C59:D59 C69:D6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view="pageLayout" zoomScaleNormal="100" workbookViewId="0">
      <selection sqref="A1:E1"/>
    </sheetView>
  </sheetViews>
  <sheetFormatPr defaultRowHeight="15" x14ac:dyDescent="0.25"/>
  <cols>
    <col min="1" max="1" width="18.7109375" customWidth="1"/>
    <col min="2" max="2" width="12.140625" customWidth="1"/>
    <col min="3" max="4" width="11.85546875" customWidth="1"/>
    <col min="5" max="5" width="11.140625" customWidth="1"/>
    <col min="6" max="6" width="3.28515625" customWidth="1"/>
    <col min="7" max="8" width="11.28515625" customWidth="1"/>
  </cols>
  <sheetData>
    <row r="1" spans="1:8" x14ac:dyDescent="0.25">
      <c r="A1" s="50" t="s">
        <v>59</v>
      </c>
      <c r="B1" s="51"/>
      <c r="C1" s="51"/>
      <c r="D1" s="51"/>
      <c r="E1" s="52"/>
      <c r="G1" s="8" t="s">
        <v>24</v>
      </c>
      <c r="H1" s="8" t="s">
        <v>43</v>
      </c>
    </row>
    <row r="2" spans="1:8" x14ac:dyDescent="0.25">
      <c r="A2" s="1" t="s">
        <v>1</v>
      </c>
      <c r="B2" s="7" t="s">
        <v>42</v>
      </c>
      <c r="C2" s="15" t="s">
        <v>25</v>
      </c>
      <c r="D2" s="15" t="s">
        <v>26</v>
      </c>
      <c r="E2" s="7" t="s">
        <v>24</v>
      </c>
    </row>
    <row r="3" spans="1:8" ht="15.75" thickBot="1" x14ac:dyDescent="0.3">
      <c r="A3" t="s">
        <v>58</v>
      </c>
      <c r="B3" s="18">
        <v>1015</v>
      </c>
      <c r="C3" s="18">
        <v>604.16</v>
      </c>
      <c r="D3" s="18">
        <v>302.08999999999997</v>
      </c>
      <c r="E3" s="18">
        <f>SUM(C3:D3)</f>
        <v>906.25</v>
      </c>
      <c r="G3" s="10">
        <v>906.25</v>
      </c>
      <c r="H3" s="22">
        <v>40962</v>
      </c>
    </row>
    <row r="4" spans="1:8" ht="15.75" thickTop="1" x14ac:dyDescent="0.25"/>
    <row r="5" spans="1:8" x14ac:dyDescent="0.25">
      <c r="A5" s="50" t="s">
        <v>52</v>
      </c>
      <c r="B5" s="51"/>
      <c r="C5" s="51"/>
      <c r="D5" s="51"/>
      <c r="E5" s="52"/>
      <c r="H5" s="11"/>
    </row>
    <row r="6" spans="1:8" x14ac:dyDescent="0.25">
      <c r="A6" s="1" t="s">
        <v>1</v>
      </c>
      <c r="B6" s="7" t="s">
        <v>42</v>
      </c>
      <c r="C6" s="15" t="s">
        <v>25</v>
      </c>
      <c r="D6" s="15" t="s">
        <v>26</v>
      </c>
      <c r="E6" s="7" t="s">
        <v>24</v>
      </c>
      <c r="F6" s="7"/>
      <c r="G6" s="1"/>
      <c r="H6" s="7"/>
    </row>
    <row r="7" spans="1:8" x14ac:dyDescent="0.25">
      <c r="A7" t="s">
        <v>53</v>
      </c>
      <c r="B7" s="12">
        <v>7662.82</v>
      </c>
      <c r="C7" s="12">
        <v>5108.54</v>
      </c>
      <c r="D7" s="12">
        <v>2554.2800000000002</v>
      </c>
      <c r="E7" s="12">
        <f>SUM(C7:D7)</f>
        <v>7662.82</v>
      </c>
      <c r="H7" s="11"/>
    </row>
    <row r="8" spans="1:8" x14ac:dyDescent="0.25">
      <c r="A8" t="s">
        <v>54</v>
      </c>
      <c r="B8" s="21">
        <v>1746.62</v>
      </c>
      <c r="C8" s="21">
        <f>1746.62/3*2</f>
        <v>1164.4133333333332</v>
      </c>
      <c r="D8" s="21">
        <f>1746.62/3</f>
        <v>582.20666666666659</v>
      </c>
      <c r="E8" s="21">
        <f>SUM(C8:D8)</f>
        <v>1746.62</v>
      </c>
      <c r="H8" s="11"/>
    </row>
    <row r="9" spans="1:8" x14ac:dyDescent="0.25">
      <c r="A9" t="s">
        <v>41</v>
      </c>
      <c r="B9" s="13">
        <v>26</v>
      </c>
      <c r="C9" s="13">
        <f>26/3*2</f>
        <v>17.333333333333332</v>
      </c>
      <c r="D9" s="13">
        <f>26/3</f>
        <v>8.6666666666666661</v>
      </c>
      <c r="E9" s="13">
        <f>SUM(C9:D9)</f>
        <v>26</v>
      </c>
      <c r="H9" s="11"/>
    </row>
    <row r="10" spans="1:8" ht="15.75" thickBot="1" x14ac:dyDescent="0.3">
      <c r="B10" s="18">
        <f>SUM(B7:B9)</f>
        <v>9435.4399999999987</v>
      </c>
      <c r="C10" s="18">
        <f>SUM(C7:C9)</f>
        <v>6290.286666666666</v>
      </c>
      <c r="D10" s="18">
        <f>SUM(D7:D9)</f>
        <v>3145.1533333333332</v>
      </c>
      <c r="E10" s="18">
        <f>SUM(E7:E9)</f>
        <v>9435.4399999999987</v>
      </c>
      <c r="G10" s="24">
        <f>E10</f>
        <v>9435.4399999999987</v>
      </c>
      <c r="H10" s="23">
        <v>40969</v>
      </c>
    </row>
    <row r="11" spans="1:8" ht="15.75" thickTop="1" x14ac:dyDescent="0.25">
      <c r="B11" s="12"/>
      <c r="C11" s="12"/>
      <c r="D11" s="12"/>
      <c r="E11" s="12"/>
      <c r="H11" s="11"/>
    </row>
    <row r="12" spans="1:8" x14ac:dyDescent="0.25">
      <c r="A12" s="50" t="s">
        <v>55</v>
      </c>
      <c r="B12" s="51"/>
      <c r="C12" s="51"/>
      <c r="D12" s="51"/>
      <c r="E12" s="52"/>
      <c r="H12" s="11"/>
    </row>
    <row r="13" spans="1:8" x14ac:dyDescent="0.25">
      <c r="A13" s="1" t="s">
        <v>1</v>
      </c>
      <c r="B13" s="7" t="s">
        <v>42</v>
      </c>
      <c r="C13" s="15" t="s">
        <v>25</v>
      </c>
      <c r="D13" s="15" t="s">
        <v>26</v>
      </c>
      <c r="E13" s="7" t="s">
        <v>24</v>
      </c>
      <c r="F13" s="7"/>
      <c r="G13" s="1"/>
      <c r="H13" s="7"/>
    </row>
    <row r="14" spans="1:8" x14ac:dyDescent="0.25">
      <c r="A14" t="s">
        <v>57</v>
      </c>
      <c r="B14" s="12">
        <v>223</v>
      </c>
      <c r="C14" s="12">
        <f>223/3*2</f>
        <v>148.66666666666666</v>
      </c>
      <c r="D14" s="12">
        <f>223/3</f>
        <v>74.333333333333329</v>
      </c>
      <c r="E14" s="12">
        <f>SUM(C14:D14)</f>
        <v>223</v>
      </c>
      <c r="H14" s="11"/>
    </row>
    <row r="15" spans="1:8" x14ac:dyDescent="0.25">
      <c r="A15" t="s">
        <v>56</v>
      </c>
      <c r="B15" s="13">
        <v>893</v>
      </c>
      <c r="C15" s="13">
        <f>893/3*2</f>
        <v>595.33333333333337</v>
      </c>
      <c r="D15" s="13">
        <f>893/3</f>
        <v>297.66666666666669</v>
      </c>
      <c r="E15" s="13">
        <f>SUM(C15:D15)</f>
        <v>893</v>
      </c>
      <c r="H15" s="11"/>
    </row>
    <row r="16" spans="1:8" ht="15.75" thickBot="1" x14ac:dyDescent="0.3">
      <c r="B16" s="18">
        <f>SUM(B14:B15)</f>
        <v>1116</v>
      </c>
      <c r="C16" s="18">
        <f>SUM(C14:C15)</f>
        <v>744</v>
      </c>
      <c r="D16" s="18">
        <f>SUM(D14:D15)</f>
        <v>372</v>
      </c>
      <c r="E16" s="18">
        <f>SUM(E14:E15)</f>
        <v>1116</v>
      </c>
      <c r="G16" s="24">
        <f>E16</f>
        <v>1116</v>
      </c>
      <c r="H16" s="23">
        <v>40969</v>
      </c>
    </row>
    <row r="17" spans="1:8" ht="15.75" thickTop="1" x14ac:dyDescent="0.25"/>
    <row r="18" spans="1:8" x14ac:dyDescent="0.25">
      <c r="A18" s="50" t="s">
        <v>98</v>
      </c>
      <c r="B18" s="51"/>
      <c r="C18" s="51"/>
      <c r="D18" s="51"/>
      <c r="E18" s="52"/>
      <c r="G18" s="1"/>
      <c r="H18" s="11"/>
    </row>
    <row r="19" spans="1:8" x14ac:dyDescent="0.25">
      <c r="A19" s="1" t="s">
        <v>1</v>
      </c>
      <c r="B19" s="7" t="s">
        <v>42</v>
      </c>
      <c r="C19" s="15" t="s">
        <v>25</v>
      </c>
      <c r="D19" s="15" t="s">
        <v>26</v>
      </c>
      <c r="E19" s="7" t="s">
        <v>24</v>
      </c>
      <c r="F19" s="7"/>
      <c r="H19" s="7"/>
    </row>
    <row r="20" spans="1:8" x14ac:dyDescent="0.25">
      <c r="A20" t="s">
        <v>74</v>
      </c>
      <c r="B20" s="12"/>
      <c r="C20" s="12">
        <f>580/3*2</f>
        <v>386.66666666666669</v>
      </c>
      <c r="D20" s="12">
        <f>580/3</f>
        <v>193.33333333333334</v>
      </c>
      <c r="E20" s="12">
        <f>SUM(C20:D20)</f>
        <v>580</v>
      </c>
      <c r="H20" s="11"/>
    </row>
    <row r="21" spans="1:8" x14ac:dyDescent="0.25">
      <c r="A21" t="s">
        <v>75</v>
      </c>
      <c r="B21" s="13"/>
      <c r="C21" s="13">
        <f>108.75/3*2</f>
        <v>72.5</v>
      </c>
      <c r="D21" s="13">
        <f>108.75/3</f>
        <v>36.25</v>
      </c>
      <c r="E21" s="13">
        <f>SUM(C21:D21)</f>
        <v>108.75</v>
      </c>
      <c r="H21" s="11"/>
    </row>
    <row r="22" spans="1:8" ht="15.75" thickBot="1" x14ac:dyDescent="0.3">
      <c r="B22" s="18"/>
      <c r="C22" s="18">
        <f>SUM(C20:C21)</f>
        <v>459.16666666666669</v>
      </c>
      <c r="D22" s="18">
        <f>SUM(D20:D21)</f>
        <v>229.58333333333334</v>
      </c>
      <c r="E22" s="18">
        <f>SUM(E20:E21)</f>
        <v>688.75</v>
      </c>
      <c r="G22" s="24">
        <f>E22</f>
        <v>688.75</v>
      </c>
      <c r="H22" s="23">
        <v>40976</v>
      </c>
    </row>
    <row r="23" spans="1:8" ht="15.75" thickTop="1" x14ac:dyDescent="0.25">
      <c r="B23" s="21"/>
      <c r="C23" s="21"/>
      <c r="D23" s="21"/>
      <c r="E23" s="21"/>
      <c r="G23" s="24"/>
      <c r="H23" s="23"/>
    </row>
    <row r="24" spans="1:8" x14ac:dyDescent="0.25">
      <c r="A24" s="50" t="s">
        <v>106</v>
      </c>
      <c r="B24" s="51"/>
      <c r="C24" s="51"/>
      <c r="D24" s="51"/>
      <c r="E24" s="52"/>
      <c r="H24" s="11"/>
    </row>
    <row r="25" spans="1:8" x14ac:dyDescent="0.25">
      <c r="A25" s="1" t="s">
        <v>1</v>
      </c>
      <c r="B25" s="7" t="s">
        <v>42</v>
      </c>
      <c r="C25" s="15" t="s">
        <v>25</v>
      </c>
      <c r="D25" s="15" t="s">
        <v>26</v>
      </c>
      <c r="E25" s="7" t="s">
        <v>24</v>
      </c>
      <c r="H25" s="11"/>
    </row>
    <row r="26" spans="1:8" ht="15.75" thickBot="1" x14ac:dyDescent="0.3">
      <c r="A26" t="s">
        <v>107</v>
      </c>
      <c r="B26" s="18">
        <v>738.75</v>
      </c>
      <c r="C26" s="18">
        <f>738.75/3*2</f>
        <v>492.5</v>
      </c>
      <c r="D26" s="18">
        <f>738.75/3</f>
        <v>246.25</v>
      </c>
      <c r="E26" s="18">
        <f>SUM(C26:D26)</f>
        <v>738.75</v>
      </c>
      <c r="G26" s="24">
        <f>E26</f>
        <v>738.75</v>
      </c>
      <c r="H26" s="23">
        <v>40990</v>
      </c>
    </row>
    <row r="27" spans="1:8" ht="15.75" thickTop="1" x14ac:dyDescent="0.25"/>
    <row r="28" spans="1:8" x14ac:dyDescent="0.25">
      <c r="A28" s="50" t="s">
        <v>114</v>
      </c>
      <c r="B28" s="51"/>
      <c r="C28" s="51"/>
      <c r="D28" s="51"/>
      <c r="E28" s="52"/>
      <c r="G28" s="8"/>
      <c r="H28" s="8"/>
    </row>
    <row r="29" spans="1:8" x14ac:dyDescent="0.25">
      <c r="A29" s="1" t="s">
        <v>1</v>
      </c>
      <c r="B29" s="7" t="s">
        <v>42</v>
      </c>
      <c r="C29" s="15" t="s">
        <v>25</v>
      </c>
      <c r="D29" s="15" t="s">
        <v>26</v>
      </c>
      <c r="E29" s="7" t="s">
        <v>24</v>
      </c>
    </row>
    <row r="30" spans="1:8" ht="15.75" thickBot="1" x14ac:dyDescent="0.3">
      <c r="A30" t="s">
        <v>97</v>
      </c>
      <c r="B30" s="18">
        <v>2322.7199999999998</v>
      </c>
      <c r="C30" s="18">
        <f>2322.72/3*2</f>
        <v>1548.4799999999998</v>
      </c>
      <c r="D30" s="18">
        <f>2322.72/3</f>
        <v>774.2399999999999</v>
      </c>
      <c r="E30" s="18">
        <f>SUM(C30:D30)</f>
        <v>2322.7199999999998</v>
      </c>
      <c r="G30" s="24">
        <f>E30</f>
        <v>2322.7199999999998</v>
      </c>
      <c r="H30" s="22">
        <v>41004</v>
      </c>
    </row>
    <row r="31" spans="1:8" ht="15.75" thickTop="1" x14ac:dyDescent="0.25"/>
    <row r="32" spans="1:8" x14ac:dyDescent="0.25">
      <c r="A32" s="50" t="s">
        <v>109</v>
      </c>
      <c r="B32" s="51"/>
      <c r="C32" s="51"/>
      <c r="D32" s="51"/>
      <c r="E32" s="52"/>
    </row>
    <row r="33" spans="1:8" x14ac:dyDescent="0.25">
      <c r="A33" s="1" t="s">
        <v>1</v>
      </c>
      <c r="B33" s="7" t="s">
        <v>42</v>
      </c>
      <c r="C33" s="15" t="s">
        <v>25</v>
      </c>
      <c r="D33" s="15" t="s">
        <v>26</v>
      </c>
      <c r="E33" s="7" t="s">
        <v>24</v>
      </c>
    </row>
    <row r="34" spans="1:8" ht="15.75" thickBot="1" x14ac:dyDescent="0.3">
      <c r="A34" t="s">
        <v>99</v>
      </c>
      <c r="B34" s="18">
        <v>13167</v>
      </c>
      <c r="C34" s="18"/>
      <c r="D34" s="18"/>
      <c r="E34" s="18"/>
      <c r="G34" s="10"/>
      <c r="H34" s="11"/>
    </row>
    <row r="35" spans="1:8" ht="15.75" thickTop="1" x14ac:dyDescent="0.25"/>
    <row r="36" spans="1:8" x14ac:dyDescent="0.25">
      <c r="A36" s="50" t="s">
        <v>110</v>
      </c>
      <c r="B36" s="51"/>
      <c r="C36" s="51"/>
      <c r="D36" s="51"/>
      <c r="E36" s="52"/>
      <c r="H36" s="11"/>
    </row>
    <row r="37" spans="1:8" x14ac:dyDescent="0.25">
      <c r="A37" s="1" t="s">
        <v>1</v>
      </c>
      <c r="B37" s="7" t="s">
        <v>42</v>
      </c>
      <c r="C37" s="15" t="s">
        <v>25</v>
      </c>
      <c r="D37" s="15" t="s">
        <v>26</v>
      </c>
      <c r="E37" s="7" t="s">
        <v>24</v>
      </c>
      <c r="F37" s="7"/>
      <c r="G37" s="1"/>
      <c r="H37" s="7"/>
    </row>
    <row r="38" spans="1:8" x14ac:dyDescent="0.25">
      <c r="A38" t="s">
        <v>111</v>
      </c>
      <c r="B38" s="12"/>
      <c r="C38" s="12">
        <f>1155/3*2</f>
        <v>770</v>
      </c>
      <c r="D38" s="12">
        <f>1155/3</f>
        <v>385</v>
      </c>
      <c r="E38" s="12">
        <f>SUM(C38:D38)</f>
        <v>1155</v>
      </c>
      <c r="H38" s="11"/>
    </row>
    <row r="39" spans="1:8" x14ac:dyDescent="0.25">
      <c r="A39" t="s">
        <v>112</v>
      </c>
      <c r="B39" s="21"/>
      <c r="C39" s="21">
        <f>123.75/3*2</f>
        <v>82.5</v>
      </c>
      <c r="D39" s="21">
        <f>123.75/3</f>
        <v>41.25</v>
      </c>
      <c r="E39" s="21">
        <f>SUM(C39:D39)</f>
        <v>123.75</v>
      </c>
      <c r="H39" s="11"/>
    </row>
    <row r="40" spans="1:8" x14ac:dyDescent="0.25">
      <c r="A40" t="s">
        <v>113</v>
      </c>
      <c r="B40" s="13"/>
      <c r="C40" s="13">
        <f>290/3*2</f>
        <v>193.33333333333334</v>
      </c>
      <c r="D40" s="13">
        <f>290/3</f>
        <v>96.666666666666671</v>
      </c>
      <c r="E40" s="13">
        <f>SUM(C40:D40)</f>
        <v>290</v>
      </c>
      <c r="H40" s="11"/>
    </row>
    <row r="41" spans="1:8" ht="15.75" thickBot="1" x14ac:dyDescent="0.3">
      <c r="B41" s="18">
        <f>SUM(B38:B40)</f>
        <v>0</v>
      </c>
      <c r="C41" s="18">
        <f>SUM(C38:C40)</f>
        <v>1045.8333333333333</v>
      </c>
      <c r="D41" s="18">
        <f>SUM(D38:D40)</f>
        <v>522.91666666666663</v>
      </c>
      <c r="E41" s="18">
        <f>SUM(E38:E40)</f>
        <v>1568.75</v>
      </c>
      <c r="G41" s="24">
        <f>E41</f>
        <v>1568.75</v>
      </c>
      <c r="H41" s="23">
        <v>41004</v>
      </c>
    </row>
    <row r="42" spans="1:8" ht="15.75" thickTop="1" x14ac:dyDescent="0.25"/>
    <row r="43" spans="1:8" x14ac:dyDescent="0.25">
      <c r="A43" s="50" t="s">
        <v>115</v>
      </c>
      <c r="B43" s="51"/>
      <c r="C43" s="51"/>
      <c r="D43" s="51"/>
      <c r="E43" s="52"/>
      <c r="H43" s="11"/>
    </row>
    <row r="44" spans="1:8" x14ac:dyDescent="0.25">
      <c r="A44" s="1" t="s">
        <v>1</v>
      </c>
      <c r="B44" s="7" t="s">
        <v>42</v>
      </c>
      <c r="C44" s="15" t="s">
        <v>25</v>
      </c>
      <c r="D44" s="15" t="s">
        <v>26</v>
      </c>
      <c r="E44" s="7" t="s">
        <v>24</v>
      </c>
      <c r="F44" s="7"/>
      <c r="G44" s="1"/>
      <c r="H44" s="7"/>
    </row>
    <row r="45" spans="1:8" x14ac:dyDescent="0.25">
      <c r="A45" t="s">
        <v>135</v>
      </c>
      <c r="B45" s="12"/>
      <c r="C45" s="12">
        <f>660/3*2</f>
        <v>440</v>
      </c>
      <c r="D45" s="12">
        <f>660/3</f>
        <v>220</v>
      </c>
      <c r="E45" s="12">
        <f>SUM(C45:D45)</f>
        <v>660</v>
      </c>
      <c r="H45" s="11"/>
    </row>
    <row r="46" spans="1:8" x14ac:dyDescent="0.25">
      <c r="A46" t="s">
        <v>136</v>
      </c>
      <c r="B46" s="12"/>
      <c r="C46" s="12">
        <f>1155/3*2</f>
        <v>770</v>
      </c>
      <c r="D46" s="12">
        <f>1155/3</f>
        <v>385</v>
      </c>
      <c r="E46" s="12">
        <f>SUM(C46:D46)</f>
        <v>1155</v>
      </c>
      <c r="H46" s="11"/>
    </row>
    <row r="47" spans="1:8" x14ac:dyDescent="0.25">
      <c r="A47" t="s">
        <v>136</v>
      </c>
      <c r="B47" s="12"/>
      <c r="C47" s="12">
        <f>495/3*2</f>
        <v>330</v>
      </c>
      <c r="D47" s="12">
        <f>495/3</f>
        <v>165</v>
      </c>
      <c r="E47" s="12">
        <f>SUM(C47:D47)</f>
        <v>495</v>
      </c>
      <c r="H47" s="11"/>
    </row>
    <row r="48" spans="1:8" x14ac:dyDescent="0.25">
      <c r="A48" t="s">
        <v>131</v>
      </c>
      <c r="B48" s="21"/>
      <c r="C48" s="21">
        <f>495/3*2</f>
        <v>330</v>
      </c>
      <c r="D48" s="21">
        <f>495/3</f>
        <v>165</v>
      </c>
      <c r="E48" s="21">
        <f>SUM(C48:D48)</f>
        <v>495</v>
      </c>
      <c r="H48" s="11"/>
    </row>
    <row r="49" spans="1:8" x14ac:dyDescent="0.25">
      <c r="A49" t="s">
        <v>133</v>
      </c>
      <c r="B49" s="13"/>
      <c r="C49" s="13">
        <f>495/3*2</f>
        <v>330</v>
      </c>
      <c r="D49" s="13">
        <f>495/3</f>
        <v>165</v>
      </c>
      <c r="E49" s="13">
        <f>SUM(C49:D49)</f>
        <v>495</v>
      </c>
      <c r="H49" s="11"/>
    </row>
    <row r="50" spans="1:8" ht="15.75" thickBot="1" x14ac:dyDescent="0.3">
      <c r="B50" s="18">
        <f>SUM(B45:B49)</f>
        <v>0</v>
      </c>
      <c r="C50" s="18">
        <f>SUM(C45:C49)</f>
        <v>2200</v>
      </c>
      <c r="D50" s="18">
        <f>SUM(D45:D49)</f>
        <v>1100</v>
      </c>
      <c r="E50" s="18">
        <f>SUM(E45:E49)</f>
        <v>3300</v>
      </c>
      <c r="G50" s="24">
        <f>E50</f>
        <v>3300</v>
      </c>
      <c r="H50" s="23">
        <v>41004</v>
      </c>
    </row>
    <row r="51" spans="1:8" ht="15.75" thickTop="1" x14ac:dyDescent="0.25"/>
    <row r="52" spans="1:8" x14ac:dyDescent="0.25">
      <c r="A52" s="50" t="s">
        <v>116</v>
      </c>
      <c r="B52" s="51"/>
      <c r="C52" s="51"/>
      <c r="D52" s="51"/>
      <c r="E52" s="52"/>
      <c r="G52" s="8"/>
      <c r="H52" s="8"/>
    </row>
    <row r="53" spans="1:8" x14ac:dyDescent="0.25">
      <c r="A53" s="1" t="s">
        <v>1</v>
      </c>
      <c r="B53" s="7" t="s">
        <v>42</v>
      </c>
      <c r="C53" s="15" t="s">
        <v>25</v>
      </c>
      <c r="D53" s="15" t="s">
        <v>26</v>
      </c>
      <c r="E53" s="7" t="s">
        <v>24</v>
      </c>
    </row>
    <row r="54" spans="1:8" ht="15.75" thickBot="1" x14ac:dyDescent="0.3">
      <c r="A54" t="s">
        <v>111</v>
      </c>
      <c r="B54" s="18"/>
      <c r="C54" s="18">
        <v>27.5</v>
      </c>
      <c r="D54" s="18">
        <v>13.75</v>
      </c>
      <c r="E54" s="18">
        <f>SUM(C54:D54)</f>
        <v>41.25</v>
      </c>
      <c r="G54" s="20">
        <f>E54</f>
        <v>41.25</v>
      </c>
      <c r="H54" s="22">
        <v>41004</v>
      </c>
    </row>
    <row r="55" spans="1:8" ht="15.75" thickTop="1" x14ac:dyDescent="0.25"/>
    <row r="56" spans="1:8" ht="15.75" thickBot="1" x14ac:dyDescent="0.3">
      <c r="G56" s="19">
        <f>SUM(G3:G54)</f>
        <v>20117.909999999996</v>
      </c>
    </row>
    <row r="57" spans="1:8" ht="15.75" thickTop="1" x14ac:dyDescent="0.25">
      <c r="C57" s="1" t="s">
        <v>25</v>
      </c>
      <c r="D57" s="1" t="s">
        <v>26</v>
      </c>
      <c r="E57" s="8" t="s">
        <v>51</v>
      </c>
    </row>
    <row r="58" spans="1:8" ht="15.75" thickBot="1" x14ac:dyDescent="0.3">
      <c r="C58" s="19">
        <f>SUM(C3+C10+C16+C22+C26+C30+C41+C50+C54)</f>
        <v>13411.926666666666</v>
      </c>
      <c r="D58" s="19">
        <f>SUM(D3+D10+D16+D22+D26+D30+D41+D50+D54)</f>
        <v>6705.9833333333336</v>
      </c>
      <c r="E58" s="19">
        <f>SUM(C58:D58)</f>
        <v>20117.91</v>
      </c>
    </row>
    <row r="59" spans="1:8" ht="15.75" thickTop="1" x14ac:dyDescent="0.25"/>
  </sheetData>
  <mergeCells count="10">
    <mergeCell ref="A1:E1"/>
    <mergeCell ref="A32:E32"/>
    <mergeCell ref="A18:E18"/>
    <mergeCell ref="A28:E28"/>
    <mergeCell ref="A24:E24"/>
    <mergeCell ref="A36:E36"/>
    <mergeCell ref="A43:E43"/>
    <mergeCell ref="A52:E52"/>
    <mergeCell ref="A5:E5"/>
    <mergeCell ref="A12:E12"/>
  </mergeCells>
  <pageMargins left="0.45" right="0.45" top="0.5" bottom="0.5" header="0.3" footer="0.3"/>
  <pageSetup paperSize="5" orientation="portrait" r:id="rId1"/>
  <headerFooter>
    <oddFooter>&amp;L&amp;Z&amp;F&amp;A&amp;RUpdated 4/16/12</oddFooter>
  </headerFooter>
  <ignoredErrors>
    <ignoredError sqref="E7 E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</vt:lpstr>
      <vt:lpstr>Bandwidth</vt:lpstr>
      <vt:lpstr>Cisco IP phone system</vt:lpstr>
      <vt:lpstr>Differ</vt:lpstr>
      <vt:lpstr>Toepfer access system upgrade</vt:lpstr>
      <vt:lpstr>Virtualization-Servers</vt:lpstr>
      <vt:lpstr>Wireless</vt:lpstr>
      <vt:lpstr>Differ!Print_Area</vt:lpstr>
    </vt:vector>
  </TitlesOfParts>
  <Company>Bradley Foundation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L. Famer</dc:creator>
  <cp:lastModifiedBy>Yvonne Engel</cp:lastModifiedBy>
  <cp:lastPrinted>2012-05-17T17:24:06Z</cp:lastPrinted>
  <dcterms:created xsi:type="dcterms:W3CDTF">2012-02-24T23:36:47Z</dcterms:created>
  <dcterms:modified xsi:type="dcterms:W3CDTF">2012-05-17T17:24:22Z</dcterms:modified>
</cp:coreProperties>
</file>