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190" windowHeight="6540" activeTab="2"/>
  </bookViews>
  <sheets>
    <sheet name="FICA" sheetId="6" r:id="rId1"/>
    <sheet name="Footnotes" sheetId="7" r:id="rId2"/>
    <sheet name="Excess Wages" sheetId="8" r:id="rId3"/>
    <sheet name="IGNORE" sheetId="1" r:id="rId4"/>
    <sheet name="SEP contribution" sheetId="5" r:id="rId5"/>
  </sheets>
  <calcPr calcId="125725"/>
</workbook>
</file>

<file path=xl/calcChain.xml><?xml version="1.0" encoding="utf-8"?>
<calcChain xmlns="http://schemas.openxmlformats.org/spreadsheetml/2006/main">
  <c r="K42" i="6"/>
  <c r="L42" s="1"/>
  <c r="K44"/>
  <c r="L44"/>
  <c r="M44" s="1"/>
  <c r="K45"/>
  <c r="L45" s="1"/>
  <c r="M45" s="1"/>
  <c r="K46"/>
  <c r="L46"/>
  <c r="M46"/>
  <c r="K47"/>
  <c r="L47" s="1"/>
  <c r="M47" s="1"/>
  <c r="K48"/>
  <c r="L48"/>
  <c r="M48" s="1"/>
  <c r="AI28"/>
  <c r="V43"/>
  <c r="AI25"/>
  <c r="AI23"/>
  <c r="AI22"/>
  <c r="AI21"/>
  <c r="AI20"/>
  <c r="AI19"/>
  <c r="AI17"/>
  <c r="AI16"/>
  <c r="AI15"/>
  <c r="AI14"/>
  <c r="AI13"/>
  <c r="AI12"/>
  <c r="AI11"/>
  <c r="AI10"/>
  <c r="AI9"/>
  <c r="AI8"/>
  <c r="AI7"/>
  <c r="AI5"/>
  <c r="AI4"/>
  <c r="AF25"/>
  <c r="AF23"/>
  <c r="AF22"/>
  <c r="AF21"/>
  <c r="AF20"/>
  <c r="AF19"/>
  <c r="AF17"/>
  <c r="AF16"/>
  <c r="AF15"/>
  <c r="AF14"/>
  <c r="AF13"/>
  <c r="AF12"/>
  <c r="AF11"/>
  <c r="AF10"/>
  <c r="AF9"/>
  <c r="AF8"/>
  <c r="AF7"/>
  <c r="AF5"/>
  <c r="AF4"/>
  <c r="AF24"/>
  <c r="AI24" s="1"/>
  <c r="B29" i="8" s="1"/>
  <c r="AB43" i="6"/>
  <c r="U43"/>
  <c r="N43"/>
  <c r="M42" l="1"/>
  <c r="N42" s="1"/>
  <c r="AC33"/>
  <c r="O33"/>
  <c r="P38"/>
  <c r="N38"/>
  <c r="P36"/>
  <c r="N36"/>
  <c r="P35"/>
  <c r="N35"/>
  <c r="P34"/>
  <c r="N34"/>
  <c r="AC55" l="1"/>
  <c r="F4" i="8" l="1"/>
  <c r="AC39" i="6"/>
  <c r="AD37"/>
  <c r="AH28"/>
  <c r="AC28"/>
  <c r="V55" l="1"/>
  <c r="B22" i="8"/>
  <c r="D22" s="1"/>
  <c r="B21"/>
  <c r="D21" s="1"/>
  <c r="V39" i="6"/>
  <c r="V51" s="1"/>
  <c r="W37"/>
  <c r="V37"/>
  <c r="V28"/>
  <c r="W10"/>
  <c r="AB37"/>
  <c r="U37"/>
  <c r="D35" i="8"/>
  <c r="B12"/>
  <c r="B11"/>
  <c r="D11" s="1"/>
  <c r="O10" i="6"/>
  <c r="O28" s="1"/>
  <c r="O55"/>
  <c r="O37"/>
  <c r="O39" s="1"/>
  <c r="O51" s="1"/>
  <c r="N37"/>
  <c r="P37" s="1"/>
  <c r="I42"/>
  <c r="D20" i="8"/>
  <c r="D12"/>
  <c r="D10"/>
  <c r="D19"/>
  <c r="D18"/>
  <c r="D30"/>
  <c r="D33"/>
  <c r="D34"/>
  <c r="D32"/>
  <c r="D31"/>
  <c r="D29"/>
  <c r="AC43" i="6" s="1"/>
  <c r="AD43" s="1"/>
  <c r="D28" i="8"/>
  <c r="D4"/>
  <c r="AC51" i="6" l="1"/>
  <c r="D23" i="8"/>
  <c r="F23" s="1"/>
  <c r="D13"/>
  <c r="F13" s="1"/>
  <c r="D36"/>
  <c r="F36" s="1"/>
  <c r="H55" i="6"/>
  <c r="H37"/>
  <c r="H39"/>
  <c r="G37"/>
  <c r="I37" s="1"/>
  <c r="H28"/>
  <c r="C18"/>
  <c r="D18" s="1"/>
  <c r="F37" i="8" l="1"/>
  <c r="Z18" i="6"/>
  <c r="T18"/>
  <c r="AA18"/>
  <c r="Y18"/>
  <c r="R18"/>
  <c r="L18"/>
  <c r="S18"/>
  <c r="M18"/>
  <c r="K18"/>
  <c r="E18"/>
  <c r="F18"/>
  <c r="AB18" l="1"/>
  <c r="AD18" s="1"/>
  <c r="G18"/>
  <c r="N18"/>
  <c r="U18"/>
  <c r="W18" s="1"/>
  <c r="B24" i="5"/>
  <c r="H15"/>
  <c r="L10" i="6"/>
  <c r="B22" i="5"/>
  <c r="I18" i="1"/>
  <c r="D17"/>
  <c r="E17" s="1"/>
  <c r="D32"/>
  <c r="B6" i="6"/>
  <c r="B29" i="5"/>
  <c r="B28"/>
  <c r="B27"/>
  <c r="B23"/>
  <c r="B21"/>
  <c r="B25"/>
  <c r="B20"/>
  <c r="B19"/>
  <c r="B18"/>
  <c r="B17"/>
  <c r="B16"/>
  <c r="B14"/>
  <c r="B13"/>
  <c r="B12"/>
  <c r="B11"/>
  <c r="B10"/>
  <c r="B9"/>
  <c r="B8"/>
  <c r="B26"/>
  <c r="C31"/>
  <c r="C27" i="6" s="1"/>
  <c r="R27" s="1"/>
  <c r="AG50"/>
  <c r="E38" i="1"/>
  <c r="F38"/>
  <c r="G38"/>
  <c r="H38"/>
  <c r="I38"/>
  <c r="J38"/>
  <c r="K38"/>
  <c r="L38"/>
  <c r="M38"/>
  <c r="N38"/>
  <c r="O38"/>
  <c r="P38"/>
  <c r="R9"/>
  <c r="Q6" i="5" s="1"/>
  <c r="B35" i="1"/>
  <c r="B39"/>
  <c r="T50" i="6"/>
  <c r="S50"/>
  <c r="R50"/>
  <c r="U50" s="1"/>
  <c r="M50"/>
  <c r="L50"/>
  <c r="K50"/>
  <c r="F50"/>
  <c r="E50"/>
  <c r="D50"/>
  <c r="AF37"/>
  <c r="AF36"/>
  <c r="AF35"/>
  <c r="AF34"/>
  <c r="C15" i="5"/>
  <c r="C26" i="6"/>
  <c r="L26" s="1"/>
  <c r="AA9"/>
  <c r="Y9"/>
  <c r="F17" i="1"/>
  <c r="J17"/>
  <c r="N17"/>
  <c r="P17"/>
  <c r="G17"/>
  <c r="K17"/>
  <c r="F18"/>
  <c r="J18"/>
  <c r="N18"/>
  <c r="E18"/>
  <c r="K18"/>
  <c r="O18"/>
  <c r="H18"/>
  <c r="L18"/>
  <c r="P18"/>
  <c r="G18"/>
  <c r="M18"/>
  <c r="H37"/>
  <c r="L37"/>
  <c r="P37"/>
  <c r="G37"/>
  <c r="K37"/>
  <c r="O37"/>
  <c r="F37"/>
  <c r="J37"/>
  <c r="N37"/>
  <c r="E37"/>
  <c r="I37"/>
  <c r="M37"/>
  <c r="S9" i="6"/>
  <c r="K9"/>
  <c r="Z9"/>
  <c r="F9"/>
  <c r="C30" i="5"/>
  <c r="G30" s="1"/>
  <c r="C10" i="6"/>
  <c r="M30" i="5"/>
  <c r="P15"/>
  <c r="D9" i="6"/>
  <c r="L9"/>
  <c r="E9"/>
  <c r="M9"/>
  <c r="E30" i="5"/>
  <c r="D30"/>
  <c r="F31"/>
  <c r="O31"/>
  <c r="D12" i="1"/>
  <c r="D14"/>
  <c r="D16"/>
  <c r="D20"/>
  <c r="D22"/>
  <c r="D28"/>
  <c r="D24"/>
  <c r="D26"/>
  <c r="D31"/>
  <c r="D11"/>
  <c r="D13"/>
  <c r="D15"/>
  <c r="D19"/>
  <c r="D21"/>
  <c r="D23"/>
  <c r="D27"/>
  <c r="D30"/>
  <c r="Y27" i="6"/>
  <c r="K27"/>
  <c r="F25" i="1"/>
  <c r="Q25" s="1"/>
  <c r="R25" s="1"/>
  <c r="H25"/>
  <c r="J25"/>
  <c r="L25"/>
  <c r="N25"/>
  <c r="P25"/>
  <c r="C22" i="5"/>
  <c r="E22" s="1"/>
  <c r="E25" i="1"/>
  <c r="G25"/>
  <c r="I25"/>
  <c r="K25"/>
  <c r="M25"/>
  <c r="O25"/>
  <c r="C35"/>
  <c r="C39" s="1"/>
  <c r="D29"/>
  <c r="C26" i="5" s="1"/>
  <c r="H29" i="1"/>
  <c r="L29"/>
  <c r="P29"/>
  <c r="K29"/>
  <c r="M22" i="6"/>
  <c r="E29" i="1"/>
  <c r="M29"/>
  <c r="I18" i="6" l="1"/>
  <c r="AF18"/>
  <c r="AI18" s="1"/>
  <c r="N50"/>
  <c r="P50" s="1"/>
  <c r="AB9"/>
  <c r="AD9" s="1"/>
  <c r="G50"/>
  <c r="I50" s="1"/>
  <c r="J31" i="5"/>
  <c r="Q37" i="1"/>
  <c r="L22" i="5"/>
  <c r="Z27" i="6"/>
  <c r="H31" i="5"/>
  <c r="B32"/>
  <c r="J29" i="1"/>
  <c r="D22" i="5"/>
  <c r="S26" i="6"/>
  <c r="H17" i="1"/>
  <c r="D31" i="5"/>
  <c r="N29" i="1"/>
  <c r="I22" i="5"/>
  <c r="M31"/>
  <c r="F27" i="6"/>
  <c r="Q18" i="1"/>
  <c r="R41" s="1"/>
  <c r="L31" i="5"/>
  <c r="N10" i="6"/>
  <c r="P10" s="1"/>
  <c r="N31" i="5"/>
  <c r="M17" i="1"/>
  <c r="O29"/>
  <c r="D27" i="6"/>
  <c r="G31" i="5"/>
  <c r="I17" i="1"/>
  <c r="I31" i="5"/>
  <c r="K31"/>
  <c r="E31"/>
  <c r="Q38" i="1"/>
  <c r="R38" s="1"/>
  <c r="S38" s="1"/>
  <c r="P18" i="6"/>
  <c r="D42"/>
  <c r="G9"/>
  <c r="I9" s="1"/>
  <c r="N9"/>
  <c r="P9" s="1"/>
  <c r="F42"/>
  <c r="N30" i="5"/>
  <c r="B28" i="6"/>
  <c r="S22"/>
  <c r="E42"/>
  <c r="K26"/>
  <c r="R26"/>
  <c r="F26"/>
  <c r="T26"/>
  <c r="L26" i="5"/>
  <c r="E26"/>
  <c r="K26"/>
  <c r="I26"/>
  <c r="M26"/>
  <c r="G26"/>
  <c r="O26"/>
  <c r="F26"/>
  <c r="D26"/>
  <c r="H26"/>
  <c r="J26"/>
  <c r="N26"/>
  <c r="R37" i="1"/>
  <c r="S37" s="1"/>
  <c r="AG2" i="6"/>
  <c r="E26"/>
  <c r="D26"/>
  <c r="AA26"/>
  <c r="I29" i="1"/>
  <c r="F29"/>
  <c r="G29"/>
  <c r="M26" i="6"/>
  <c r="I30" i="5"/>
  <c r="Z26" i="6"/>
  <c r="T9"/>
  <c r="Y26"/>
  <c r="AB26" s="1"/>
  <c r="AD26" s="1"/>
  <c r="C14" i="5"/>
  <c r="G14" s="1"/>
  <c r="R9" i="6"/>
  <c r="O17" i="1"/>
  <c r="L17"/>
  <c r="R22" i="6"/>
  <c r="D22"/>
  <c r="H22" i="5"/>
  <c r="M22"/>
  <c r="D35" i="1"/>
  <c r="D39" s="1"/>
  <c r="N30"/>
  <c r="F30"/>
  <c r="I30"/>
  <c r="L30"/>
  <c r="O30"/>
  <c r="G30"/>
  <c r="C27" i="5"/>
  <c r="J30" i="1"/>
  <c r="M30"/>
  <c r="E30"/>
  <c r="P30"/>
  <c r="H30"/>
  <c r="K30"/>
  <c r="P23"/>
  <c r="F23"/>
  <c r="I23"/>
  <c r="G23"/>
  <c r="J23"/>
  <c r="M23"/>
  <c r="H23"/>
  <c r="K23"/>
  <c r="N23"/>
  <c r="L23"/>
  <c r="O23"/>
  <c r="E23"/>
  <c r="C20" i="5"/>
  <c r="H20" s="1"/>
  <c r="H19" i="1"/>
  <c r="K19"/>
  <c r="N19"/>
  <c r="C16" i="5"/>
  <c r="L19" i="1"/>
  <c r="O19"/>
  <c r="E19"/>
  <c r="P19"/>
  <c r="F19"/>
  <c r="I19"/>
  <c r="T11" i="6"/>
  <c r="G19" i="1"/>
  <c r="J19"/>
  <c r="M19"/>
  <c r="G13"/>
  <c r="J13"/>
  <c r="M13"/>
  <c r="H13"/>
  <c r="K13"/>
  <c r="N13"/>
  <c r="L13"/>
  <c r="O13"/>
  <c r="E13"/>
  <c r="C10" i="5"/>
  <c r="E10" s="1"/>
  <c r="P13" i="1"/>
  <c r="F13"/>
  <c r="I13"/>
  <c r="L31"/>
  <c r="O31"/>
  <c r="E31"/>
  <c r="C28" i="5"/>
  <c r="D28" s="1"/>
  <c r="P31" i="1"/>
  <c r="F31"/>
  <c r="I31"/>
  <c r="G31"/>
  <c r="J31"/>
  <c r="M31"/>
  <c r="H31"/>
  <c r="K31"/>
  <c r="N31"/>
  <c r="N24"/>
  <c r="H24"/>
  <c r="K24"/>
  <c r="S17" i="6"/>
  <c r="E24" i="1"/>
  <c r="L24"/>
  <c r="O24"/>
  <c r="F24"/>
  <c r="I24"/>
  <c r="P24"/>
  <c r="C21" i="5"/>
  <c r="J24" i="1"/>
  <c r="M24"/>
  <c r="G24"/>
  <c r="H22"/>
  <c r="K22"/>
  <c r="N22"/>
  <c r="C19" i="5"/>
  <c r="G22" i="1"/>
  <c r="J22"/>
  <c r="M22"/>
  <c r="P22"/>
  <c r="F22"/>
  <c r="I22"/>
  <c r="L22"/>
  <c r="O22"/>
  <c r="E22"/>
  <c r="M15" i="6"/>
  <c r="G16" i="1"/>
  <c r="J16"/>
  <c r="M16"/>
  <c r="H16"/>
  <c r="K16"/>
  <c r="N16"/>
  <c r="T8" i="6"/>
  <c r="L16" i="1"/>
  <c r="O16"/>
  <c r="E16"/>
  <c r="C13" i="5"/>
  <c r="P16" i="1"/>
  <c r="F16"/>
  <c r="I16"/>
  <c r="L12"/>
  <c r="O12"/>
  <c r="E12"/>
  <c r="C9" i="5"/>
  <c r="P12" i="1"/>
  <c r="F12"/>
  <c r="I12"/>
  <c r="G12"/>
  <c r="J12"/>
  <c r="M12"/>
  <c r="H12"/>
  <c r="K12"/>
  <c r="N12"/>
  <c r="T5" i="6"/>
  <c r="Z20"/>
  <c r="C24" i="5"/>
  <c r="M27" i="1"/>
  <c r="I27"/>
  <c r="E27"/>
  <c r="N27"/>
  <c r="J27"/>
  <c r="F27"/>
  <c r="O27"/>
  <c r="K27"/>
  <c r="G27"/>
  <c r="P27"/>
  <c r="L27"/>
  <c r="H27"/>
  <c r="E21"/>
  <c r="L21"/>
  <c r="O21"/>
  <c r="F21"/>
  <c r="I21"/>
  <c r="P21"/>
  <c r="J21"/>
  <c r="M21"/>
  <c r="G21"/>
  <c r="C18" i="5"/>
  <c r="E18" s="1"/>
  <c r="N21" i="1"/>
  <c r="H21"/>
  <c r="K21"/>
  <c r="L15"/>
  <c r="O15"/>
  <c r="E15"/>
  <c r="C12" i="5"/>
  <c r="H15" i="1"/>
  <c r="K15"/>
  <c r="N15"/>
  <c r="G15"/>
  <c r="J15"/>
  <c r="M15"/>
  <c r="K7" i="6"/>
  <c r="P15" i="1"/>
  <c r="F15"/>
  <c r="I15"/>
  <c r="J11"/>
  <c r="M11"/>
  <c r="G11"/>
  <c r="C8" i="5"/>
  <c r="F11" i="1"/>
  <c r="I11"/>
  <c r="P11"/>
  <c r="E11"/>
  <c r="L11"/>
  <c r="O11"/>
  <c r="R4" i="6"/>
  <c r="N11" i="1"/>
  <c r="H11"/>
  <c r="K11"/>
  <c r="L26"/>
  <c r="E26"/>
  <c r="M26"/>
  <c r="F26"/>
  <c r="N26"/>
  <c r="G26"/>
  <c r="O26"/>
  <c r="H26"/>
  <c r="P26"/>
  <c r="I26"/>
  <c r="J26"/>
  <c r="C23" i="5"/>
  <c r="K26" i="1"/>
  <c r="C25" i="5"/>
  <c r="E28" i="1"/>
  <c r="L28"/>
  <c r="O28"/>
  <c r="F28"/>
  <c r="I28"/>
  <c r="P28"/>
  <c r="J28"/>
  <c r="M28"/>
  <c r="G28"/>
  <c r="S21" i="6"/>
  <c r="N28" i="1"/>
  <c r="H28"/>
  <c r="K28"/>
  <c r="C17" i="5"/>
  <c r="G20" i="1"/>
  <c r="J20"/>
  <c r="M20"/>
  <c r="P20"/>
  <c r="F20"/>
  <c r="I20"/>
  <c r="L20"/>
  <c r="O20"/>
  <c r="E20"/>
  <c r="H20"/>
  <c r="K20"/>
  <c r="N20"/>
  <c r="L14"/>
  <c r="O14"/>
  <c r="E14"/>
  <c r="C6" i="6"/>
  <c r="H14" i="1"/>
  <c r="K14"/>
  <c r="N14"/>
  <c r="G14"/>
  <c r="J14"/>
  <c r="M14"/>
  <c r="C11" i="5"/>
  <c r="O11" s="1"/>
  <c r="P14" i="1"/>
  <c r="F14"/>
  <c r="I14"/>
  <c r="M32"/>
  <c r="J32"/>
  <c r="P32"/>
  <c r="C29" i="5"/>
  <c r="I32" i="1"/>
  <c r="O32"/>
  <c r="L32"/>
  <c r="E32"/>
  <c r="K32"/>
  <c r="H32"/>
  <c r="F32"/>
  <c r="N32"/>
  <c r="G32"/>
  <c r="T22" i="6"/>
  <c r="F22"/>
  <c r="L22"/>
  <c r="E22"/>
  <c r="AA22"/>
  <c r="Z22"/>
  <c r="Y22"/>
  <c r="K22"/>
  <c r="G22" i="5"/>
  <c r="K22"/>
  <c r="O22"/>
  <c r="F22"/>
  <c r="J22"/>
  <c r="N22"/>
  <c r="S4" i="6"/>
  <c r="S5"/>
  <c r="R5"/>
  <c r="E5"/>
  <c r="M10" i="5"/>
  <c r="K11"/>
  <c r="E11" i="6"/>
  <c r="F11"/>
  <c r="E12"/>
  <c r="AA12"/>
  <c r="K12"/>
  <c r="Y12"/>
  <c r="R12"/>
  <c r="D12"/>
  <c r="AA15"/>
  <c r="Z15"/>
  <c r="I20" i="5"/>
  <c r="R25" i="6"/>
  <c r="L25"/>
  <c r="E25"/>
  <c r="AA25"/>
  <c r="S25"/>
  <c r="T25"/>
  <c r="E14" i="5"/>
  <c r="L14"/>
  <c r="H14"/>
  <c r="D14"/>
  <c r="S27" i="6"/>
  <c r="E27"/>
  <c r="L27"/>
  <c r="AA27"/>
  <c r="AB27" s="1"/>
  <c r="AD27" s="1"/>
  <c r="M27"/>
  <c r="T27"/>
  <c r="L23"/>
  <c r="K23"/>
  <c r="M23"/>
  <c r="E23"/>
  <c r="AA23"/>
  <c r="F23"/>
  <c r="L8"/>
  <c r="AA8"/>
  <c r="M8"/>
  <c r="S8"/>
  <c r="F8"/>
  <c r="AA17"/>
  <c r="Z17"/>
  <c r="J28" i="5"/>
  <c r="N28"/>
  <c r="F30"/>
  <c r="J30"/>
  <c r="H30"/>
  <c r="O30"/>
  <c r="L30"/>
  <c r="K30"/>
  <c r="J14"/>
  <c r="E24"/>
  <c r="G24"/>
  <c r="I24"/>
  <c r="K24"/>
  <c r="M24"/>
  <c r="O24"/>
  <c r="E20" i="6"/>
  <c r="S20"/>
  <c r="Y20"/>
  <c r="H24" i="5"/>
  <c r="J24"/>
  <c r="L24"/>
  <c r="L20" i="6"/>
  <c r="R20"/>
  <c r="P31" i="5" l="1"/>
  <c r="Q31" s="1"/>
  <c r="U9" i="6"/>
  <c r="W9" s="1"/>
  <c r="Q23" i="1"/>
  <c r="R23" s="1"/>
  <c r="Q29"/>
  <c r="R29" s="1"/>
  <c r="M14" i="5"/>
  <c r="D20"/>
  <c r="K20"/>
  <c r="O10"/>
  <c r="N14"/>
  <c r="L10"/>
  <c r="K28"/>
  <c r="I14"/>
  <c r="G27" i="6"/>
  <c r="I27" s="1"/>
  <c r="G20" i="5"/>
  <c r="H18"/>
  <c r="U5" i="6"/>
  <c r="W5" s="1"/>
  <c r="M28" i="5"/>
  <c r="L20"/>
  <c r="O18"/>
  <c r="J10"/>
  <c r="L28"/>
  <c r="J20"/>
  <c r="N23" i="6"/>
  <c r="P23" s="1"/>
  <c r="AB22"/>
  <c r="AD22" s="1"/>
  <c r="Q17" i="1"/>
  <c r="AG18" i="6"/>
  <c r="N22"/>
  <c r="P22" s="1"/>
  <c r="U22"/>
  <c r="W22" s="1"/>
  <c r="U25"/>
  <c r="W25" s="1"/>
  <c r="G22"/>
  <c r="I22" s="1"/>
  <c r="N27"/>
  <c r="P27" s="1"/>
  <c r="U27"/>
  <c r="W27" s="1"/>
  <c r="U26"/>
  <c r="W26" s="1"/>
  <c r="G26"/>
  <c r="N26"/>
  <c r="P26" s="1"/>
  <c r="M21"/>
  <c r="S7"/>
  <c r="Z7"/>
  <c r="Y7"/>
  <c r="M7"/>
  <c r="AA4"/>
  <c r="L11" i="5"/>
  <c r="AA21" i="6"/>
  <c r="G18" i="5"/>
  <c r="T4" i="6"/>
  <c r="U4" s="1"/>
  <c r="W4" s="1"/>
  <c r="T17"/>
  <c r="F17"/>
  <c r="Y21"/>
  <c r="K15"/>
  <c r="R11"/>
  <c r="J11" i="5"/>
  <c r="D5" i="6"/>
  <c r="K21"/>
  <c r="F18" i="5"/>
  <c r="M11"/>
  <c r="F20" i="6"/>
  <c r="M20"/>
  <c r="Z21"/>
  <c r="L15"/>
  <c r="I18" i="5"/>
  <c r="E11"/>
  <c r="F5" i="6"/>
  <c r="Y4"/>
  <c r="Q22" i="1"/>
  <c r="R22" s="1"/>
  <c r="T20" i="6"/>
  <c r="U20" s="1"/>
  <c r="W20" s="1"/>
  <c r="D20"/>
  <c r="G20" s="1"/>
  <c r="I20" s="1"/>
  <c r="AA20"/>
  <c r="AB20" s="1"/>
  <c r="AD20" s="1"/>
  <c r="K20"/>
  <c r="M17"/>
  <c r="Y15"/>
  <c r="AB15" s="1"/>
  <c r="AD15" s="1"/>
  <c r="AA7"/>
  <c r="K10" i="5"/>
  <c r="E4" i="6"/>
  <c r="K14" i="5"/>
  <c r="O14"/>
  <c r="F14"/>
  <c r="G36" s="1"/>
  <c r="P26"/>
  <c r="Q26" s="1"/>
  <c r="L11" i="6"/>
  <c r="D11"/>
  <c r="G11" s="1"/>
  <c r="I11" s="1"/>
  <c r="G11" i="5"/>
  <c r="D11"/>
  <c r="F11"/>
  <c r="N11"/>
  <c r="H11"/>
  <c r="I11"/>
  <c r="I17"/>
  <c r="G17"/>
  <c r="H17"/>
  <c r="F17"/>
  <c r="O17"/>
  <c r="E17"/>
  <c r="N17"/>
  <c r="D17"/>
  <c r="M17"/>
  <c r="K17"/>
  <c r="L17"/>
  <c r="J17"/>
  <c r="F21" i="6"/>
  <c r="R21"/>
  <c r="E21"/>
  <c r="D21"/>
  <c r="L21"/>
  <c r="T21"/>
  <c r="J25" i="5"/>
  <c r="K25"/>
  <c r="L25"/>
  <c r="M25"/>
  <c r="N25"/>
  <c r="D25"/>
  <c r="O25"/>
  <c r="E25"/>
  <c r="F25"/>
  <c r="G25"/>
  <c r="H25"/>
  <c r="I25"/>
  <c r="G23"/>
  <c r="J23"/>
  <c r="M23"/>
  <c r="K23"/>
  <c r="N23"/>
  <c r="D23"/>
  <c r="O23"/>
  <c r="E23"/>
  <c r="H23"/>
  <c r="F23"/>
  <c r="I23"/>
  <c r="L23"/>
  <c r="K19" i="6"/>
  <c r="E19"/>
  <c r="T19"/>
  <c r="L19"/>
  <c r="Z19"/>
  <c r="S19"/>
  <c r="R19"/>
  <c r="D19"/>
  <c r="F19"/>
  <c r="AA19"/>
  <c r="M19"/>
  <c r="Y19"/>
  <c r="D4"/>
  <c r="F4"/>
  <c r="L4"/>
  <c r="Z4"/>
  <c r="K4"/>
  <c r="M4"/>
  <c r="C28"/>
  <c r="D7"/>
  <c r="L7"/>
  <c r="T7"/>
  <c r="F7"/>
  <c r="R7"/>
  <c r="E7"/>
  <c r="L18" i="5"/>
  <c r="N18"/>
  <c r="M18"/>
  <c r="K18"/>
  <c r="J18"/>
  <c r="D18"/>
  <c r="D13" i="6"/>
  <c r="L13"/>
  <c r="Y13"/>
  <c r="K13"/>
  <c r="E13"/>
  <c r="R13"/>
  <c r="S13"/>
  <c r="F13"/>
  <c r="AA13"/>
  <c r="Z13"/>
  <c r="M13"/>
  <c r="T13"/>
  <c r="N13" i="5"/>
  <c r="D13"/>
  <c r="G13"/>
  <c r="F13"/>
  <c r="I13"/>
  <c r="H13"/>
  <c r="K13"/>
  <c r="J13"/>
  <c r="M13"/>
  <c r="L13"/>
  <c r="O13"/>
  <c r="E13"/>
  <c r="Z8" i="6"/>
  <c r="Y8"/>
  <c r="E8"/>
  <c r="D8"/>
  <c r="R8"/>
  <c r="U8" s="1"/>
  <c r="W8" s="1"/>
  <c r="K8"/>
  <c r="N8" s="1"/>
  <c r="P8" s="1"/>
  <c r="L21" i="5"/>
  <c r="M21"/>
  <c r="J21"/>
  <c r="O21"/>
  <c r="E21"/>
  <c r="N21"/>
  <c r="G21"/>
  <c r="D21"/>
  <c r="F21"/>
  <c r="K21"/>
  <c r="H21"/>
  <c r="I21"/>
  <c r="H10"/>
  <c r="I10"/>
  <c r="N10"/>
  <c r="F10"/>
  <c r="G10"/>
  <c r="D10"/>
  <c r="S14" i="6"/>
  <c r="K14"/>
  <c r="AA14"/>
  <c r="D14"/>
  <c r="L14"/>
  <c r="T14"/>
  <c r="Z14"/>
  <c r="M14"/>
  <c r="Y14"/>
  <c r="F14"/>
  <c r="E14"/>
  <c r="R14"/>
  <c r="Y11"/>
  <c r="Z11"/>
  <c r="M11"/>
  <c r="S11"/>
  <c r="AA11"/>
  <c r="K11"/>
  <c r="M16"/>
  <c r="L16"/>
  <c r="AA16"/>
  <c r="Z16"/>
  <c r="Y16"/>
  <c r="K16"/>
  <c r="T16"/>
  <c r="F16"/>
  <c r="E16"/>
  <c r="D16"/>
  <c r="G16" s="1"/>
  <c r="I16" s="1"/>
  <c r="S16"/>
  <c r="R16"/>
  <c r="Q14" i="1"/>
  <c r="R14" s="1"/>
  <c r="H35"/>
  <c r="H39" s="1"/>
  <c r="L35"/>
  <c r="L39" s="1"/>
  <c r="P35"/>
  <c r="P39" s="1"/>
  <c r="F35"/>
  <c r="F39" s="1"/>
  <c r="G35"/>
  <c r="G39" s="1"/>
  <c r="J35"/>
  <c r="J39" s="1"/>
  <c r="Q15"/>
  <c r="R15" s="1"/>
  <c r="Q27"/>
  <c r="R27" s="1"/>
  <c r="Q12"/>
  <c r="R12" s="1"/>
  <c r="Q24"/>
  <c r="R24" s="1"/>
  <c r="Q31"/>
  <c r="R31" s="1"/>
  <c r="Q19"/>
  <c r="R19" s="1"/>
  <c r="Q30"/>
  <c r="R30" s="1"/>
  <c r="F25" i="6"/>
  <c r="Z25"/>
  <c r="K25"/>
  <c r="M25"/>
  <c r="D25"/>
  <c r="Y25"/>
  <c r="H29" i="5"/>
  <c r="I29"/>
  <c r="N29"/>
  <c r="O29"/>
  <c r="L29"/>
  <c r="F29"/>
  <c r="M29"/>
  <c r="G29"/>
  <c r="D29"/>
  <c r="E29"/>
  <c r="J29"/>
  <c r="K29"/>
  <c r="S6" i="6"/>
  <c r="Y6"/>
  <c r="AA6"/>
  <c r="Z6"/>
  <c r="K6"/>
  <c r="M6"/>
  <c r="R6"/>
  <c r="T6"/>
  <c r="E6"/>
  <c r="D6"/>
  <c r="F6"/>
  <c r="L6"/>
  <c r="S12"/>
  <c r="Z12"/>
  <c r="AB12" s="1"/>
  <c r="AD12" s="1"/>
  <c r="M12"/>
  <c r="F12"/>
  <c r="G12" s="1"/>
  <c r="I12" s="1"/>
  <c r="T12"/>
  <c r="L12"/>
  <c r="Q11" i="1"/>
  <c r="E35"/>
  <c r="E39" s="1"/>
  <c r="H8" i="5"/>
  <c r="F8"/>
  <c r="I8"/>
  <c r="N8"/>
  <c r="E8"/>
  <c r="D8"/>
  <c r="G8"/>
  <c r="K8"/>
  <c r="L8"/>
  <c r="M8"/>
  <c r="O8"/>
  <c r="J8"/>
  <c r="C32"/>
  <c r="I12"/>
  <c r="L12"/>
  <c r="M12"/>
  <c r="K12"/>
  <c r="G12"/>
  <c r="H12"/>
  <c r="F12"/>
  <c r="N12"/>
  <c r="E12"/>
  <c r="J12"/>
  <c r="O12"/>
  <c r="D12"/>
  <c r="N24"/>
  <c r="F24"/>
  <c r="D24"/>
  <c r="Y5" i="6"/>
  <c r="M5"/>
  <c r="AA5"/>
  <c r="K5"/>
  <c r="Z5"/>
  <c r="L5"/>
  <c r="O9" i="5"/>
  <c r="H9"/>
  <c r="F9"/>
  <c r="I9"/>
  <c r="G9"/>
  <c r="N9"/>
  <c r="D9"/>
  <c r="L9"/>
  <c r="M9"/>
  <c r="E9"/>
  <c r="J9"/>
  <c r="K9"/>
  <c r="F15" i="6"/>
  <c r="D15"/>
  <c r="R15"/>
  <c r="T15"/>
  <c r="E15"/>
  <c r="S15"/>
  <c r="D19" i="5"/>
  <c r="M19"/>
  <c r="G19"/>
  <c r="K19"/>
  <c r="E19"/>
  <c r="J19"/>
  <c r="I19"/>
  <c r="N19"/>
  <c r="H19"/>
  <c r="L19"/>
  <c r="F19"/>
  <c r="O19"/>
  <c r="D17" i="6"/>
  <c r="Y17"/>
  <c r="AB17" s="1"/>
  <c r="AD17" s="1"/>
  <c r="E17"/>
  <c r="L17"/>
  <c r="K17"/>
  <c r="R17"/>
  <c r="U17" s="1"/>
  <c r="W17" s="1"/>
  <c r="R24"/>
  <c r="F24"/>
  <c r="K24"/>
  <c r="Z24"/>
  <c r="Z38" s="1"/>
  <c r="Z50" s="1"/>
  <c r="Y24"/>
  <c r="T24"/>
  <c r="D24"/>
  <c r="M24"/>
  <c r="L24"/>
  <c r="E24"/>
  <c r="AA24"/>
  <c r="AA38" s="1"/>
  <c r="AA50" s="1"/>
  <c r="S24"/>
  <c r="F28" i="5"/>
  <c r="E28"/>
  <c r="G28"/>
  <c r="O28"/>
  <c r="I28"/>
  <c r="H28"/>
  <c r="I16"/>
  <c r="F16"/>
  <c r="M16"/>
  <c r="L16"/>
  <c r="G16"/>
  <c r="K16"/>
  <c r="H16"/>
  <c r="D16"/>
  <c r="O16"/>
  <c r="N16"/>
  <c r="E16"/>
  <c r="J16"/>
  <c r="E20"/>
  <c r="N20"/>
  <c r="M20"/>
  <c r="F20"/>
  <c r="O20"/>
  <c r="H27"/>
  <c r="M27"/>
  <c r="J27"/>
  <c r="I27"/>
  <c r="D27"/>
  <c r="F27"/>
  <c r="E27"/>
  <c r="G27"/>
  <c r="O27"/>
  <c r="L27"/>
  <c r="N27"/>
  <c r="K27"/>
  <c r="Y23" i="6"/>
  <c r="Z23"/>
  <c r="T23"/>
  <c r="D23"/>
  <c r="G23" s="1"/>
  <c r="I23" s="1"/>
  <c r="R23"/>
  <c r="S23"/>
  <c r="F32" i="5"/>
  <c r="Q32" i="1"/>
  <c r="R32" s="1"/>
  <c r="Q20"/>
  <c r="R20" s="1"/>
  <c r="Q28"/>
  <c r="R28" s="1"/>
  <c r="Q26"/>
  <c r="R26" s="1"/>
  <c r="K35"/>
  <c r="K39" s="1"/>
  <c r="N35"/>
  <c r="N39" s="1"/>
  <c r="O35"/>
  <c r="O39" s="1"/>
  <c r="I35"/>
  <c r="I39" s="1"/>
  <c r="M35"/>
  <c r="M39" s="1"/>
  <c r="Q21"/>
  <c r="R21" s="1"/>
  <c r="Q16"/>
  <c r="R16" s="1"/>
  <c r="Q13"/>
  <c r="R13" s="1"/>
  <c r="D34" i="5"/>
  <c r="E34"/>
  <c r="H34"/>
  <c r="E36"/>
  <c r="D36"/>
  <c r="P30"/>
  <c r="Q30" s="1"/>
  <c r="P22"/>
  <c r="Q22" s="1"/>
  <c r="O32"/>
  <c r="I26" i="6" l="1"/>
  <c r="AF26"/>
  <c r="AI26" s="1"/>
  <c r="L34" i="5"/>
  <c r="K32"/>
  <c r="H32"/>
  <c r="P10"/>
  <c r="Q10" s="1"/>
  <c r="L32"/>
  <c r="U16" i="6"/>
  <c r="W16" s="1"/>
  <c r="N7"/>
  <c r="P7" s="1"/>
  <c r="N20"/>
  <c r="P20" s="1"/>
  <c r="S28"/>
  <c r="S33" s="1"/>
  <c r="S39" s="1"/>
  <c r="S54" s="1"/>
  <c r="G21"/>
  <c r="I21" s="1"/>
  <c r="G8"/>
  <c r="I8" s="1"/>
  <c r="E28"/>
  <c r="E33" s="1"/>
  <c r="E39" s="1"/>
  <c r="E51" s="1"/>
  <c r="E53" s="1"/>
  <c r="AB8"/>
  <c r="AD8" s="1"/>
  <c r="AB23"/>
  <c r="AD23" s="1"/>
  <c r="N16"/>
  <c r="P16" s="1"/>
  <c r="D28"/>
  <c r="D33" s="1"/>
  <c r="D39" s="1"/>
  <c r="D54" s="1"/>
  <c r="F47"/>
  <c r="U23"/>
  <c r="W23" s="1"/>
  <c r="U14"/>
  <c r="W14" s="1"/>
  <c r="AG26"/>
  <c r="AB19"/>
  <c r="AD19" s="1"/>
  <c r="L28"/>
  <c r="L33" s="1"/>
  <c r="L39" s="1"/>
  <c r="L54" s="1"/>
  <c r="P14" i="5"/>
  <c r="G15" i="6"/>
  <c r="I15" s="1"/>
  <c r="AB25"/>
  <c r="AD25" s="1"/>
  <c r="N11"/>
  <c r="P11" s="1"/>
  <c r="AG22"/>
  <c r="F36" i="5"/>
  <c r="H36" s="1"/>
  <c r="AB14" i="6"/>
  <c r="AD14" s="1"/>
  <c r="U7"/>
  <c r="W7" s="1"/>
  <c r="AF27"/>
  <c r="AG27" s="1"/>
  <c r="N12"/>
  <c r="P12" s="1"/>
  <c r="U19"/>
  <c r="W19" s="1"/>
  <c r="U12"/>
  <c r="W12" s="1"/>
  <c r="N5"/>
  <c r="P5" s="1"/>
  <c r="G14"/>
  <c r="I14" s="1"/>
  <c r="N14"/>
  <c r="P14" s="1"/>
  <c r="U13"/>
  <c r="W13" s="1"/>
  <c r="N13"/>
  <c r="P13" s="1"/>
  <c r="N4"/>
  <c r="P4" s="1"/>
  <c r="G4"/>
  <c r="I4" s="1"/>
  <c r="N19"/>
  <c r="P19" s="1"/>
  <c r="G5"/>
  <c r="I5" s="1"/>
  <c r="U11"/>
  <c r="AB21"/>
  <c r="AD21" s="1"/>
  <c r="F46"/>
  <c r="G25"/>
  <c r="I25" s="1"/>
  <c r="G24"/>
  <c r="I24" s="1"/>
  <c r="AB24"/>
  <c r="AD24" s="1"/>
  <c r="N24"/>
  <c r="P24" s="1"/>
  <c r="U24"/>
  <c r="W24" s="1"/>
  <c r="N17"/>
  <c r="P17" s="1"/>
  <c r="G17"/>
  <c r="I17" s="1"/>
  <c r="U15"/>
  <c r="W15" s="1"/>
  <c r="AB5"/>
  <c r="AD5" s="1"/>
  <c r="N25"/>
  <c r="P25" s="1"/>
  <c r="AB16"/>
  <c r="AD16" s="1"/>
  <c r="AB11"/>
  <c r="AD11" s="1"/>
  <c r="AB13"/>
  <c r="AD13" s="1"/>
  <c r="G13"/>
  <c r="I13" s="1"/>
  <c r="G7"/>
  <c r="I7" s="1"/>
  <c r="G19"/>
  <c r="I19" s="1"/>
  <c r="U21"/>
  <c r="W21" s="1"/>
  <c r="AB4"/>
  <c r="AD4" s="1"/>
  <c r="N21"/>
  <c r="P21" s="1"/>
  <c r="N15"/>
  <c r="P15" s="1"/>
  <c r="AB7"/>
  <c r="AD7" s="1"/>
  <c r="G6"/>
  <c r="AB6"/>
  <c r="AD6" s="1"/>
  <c r="U6"/>
  <c r="W6" s="1"/>
  <c r="N6"/>
  <c r="AG12"/>
  <c r="Y28"/>
  <c r="Y33" s="1"/>
  <c r="AG8"/>
  <c r="P20" i="5"/>
  <c r="Q20" s="1"/>
  <c r="I34"/>
  <c r="J32"/>
  <c r="M32"/>
  <c r="D32"/>
  <c r="P12"/>
  <c r="Q12" s="1"/>
  <c r="E32"/>
  <c r="I32"/>
  <c r="P11"/>
  <c r="Q11" s="1"/>
  <c r="J34"/>
  <c r="P18"/>
  <c r="Q18" s="1"/>
  <c r="F45" i="6"/>
  <c r="K28"/>
  <c r="K33" s="1"/>
  <c r="Z28"/>
  <c r="Z33" s="1"/>
  <c r="Z39" s="1"/>
  <c r="Z54" s="1"/>
  <c r="AA28"/>
  <c r="AA33" s="1"/>
  <c r="F28"/>
  <c r="F33" s="1"/>
  <c r="F39" s="1"/>
  <c r="F54" s="1"/>
  <c r="T28"/>
  <c r="T33" s="1"/>
  <c r="T39" s="1"/>
  <c r="T54" s="1"/>
  <c r="R28"/>
  <c r="R33" s="1"/>
  <c r="F34" i="5"/>
  <c r="G34"/>
  <c r="P28"/>
  <c r="Q28" s="1"/>
  <c r="K34"/>
  <c r="M28" i="6"/>
  <c r="M33" s="1"/>
  <c r="M39" s="1"/>
  <c r="M54" s="1"/>
  <c r="P24" i="5"/>
  <c r="Q24" s="1"/>
  <c r="G32"/>
  <c r="F48" i="6"/>
  <c r="P27" i="5"/>
  <c r="Q27" s="1"/>
  <c r="P16"/>
  <c r="Q16" s="1"/>
  <c r="P8"/>
  <c r="Q8" s="1"/>
  <c r="N32"/>
  <c r="P29"/>
  <c r="Q29" s="1"/>
  <c r="P21"/>
  <c r="Q21" s="1"/>
  <c r="P13"/>
  <c r="Q13" s="1"/>
  <c r="F43" i="6"/>
  <c r="R11" i="1"/>
  <c r="R35" s="1"/>
  <c r="R39" s="1"/>
  <c r="Q35"/>
  <c r="F44" i="6"/>
  <c r="K35" i="5"/>
  <c r="P23"/>
  <c r="Q23" s="1"/>
  <c r="H35"/>
  <c r="D35"/>
  <c r="J35"/>
  <c r="F35"/>
  <c r="G35"/>
  <c r="N35"/>
  <c r="M35"/>
  <c r="E35"/>
  <c r="E38" s="1"/>
  <c r="E39" s="1"/>
  <c r="I35"/>
  <c r="L35"/>
  <c r="P19"/>
  <c r="Q19" s="1"/>
  <c r="P9"/>
  <c r="Q9" s="1"/>
  <c r="P25"/>
  <c r="Q25" s="1"/>
  <c r="P17"/>
  <c r="Q17" s="1"/>
  <c r="AF6" i="6" l="1"/>
  <c r="AI6" s="1"/>
  <c r="AD28"/>
  <c r="E54"/>
  <c r="AA39"/>
  <c r="AA54" s="1"/>
  <c r="AG20"/>
  <c r="F51"/>
  <c r="F53" s="1"/>
  <c r="AG15"/>
  <c r="W11"/>
  <c r="W28" s="1"/>
  <c r="AG19"/>
  <c r="AG23"/>
  <c r="AG7"/>
  <c r="AG17"/>
  <c r="AB33"/>
  <c r="AD33" s="1"/>
  <c r="Y38"/>
  <c r="Y50" s="1"/>
  <c r="AG21"/>
  <c r="AG16"/>
  <c r="N47"/>
  <c r="R42"/>
  <c r="F38" i="5"/>
  <c r="F39" s="1"/>
  <c r="AG14" i="6"/>
  <c r="AG5"/>
  <c r="R39"/>
  <c r="R54" s="1"/>
  <c r="U54" s="1"/>
  <c r="W54" s="1"/>
  <c r="U33"/>
  <c r="K39"/>
  <c r="K54" s="1"/>
  <c r="N54" s="1"/>
  <c r="P54" s="1"/>
  <c r="N33"/>
  <c r="D51"/>
  <c r="D53" s="1"/>
  <c r="D38" i="5"/>
  <c r="D39" s="1"/>
  <c r="AG25" i="6"/>
  <c r="U28"/>
  <c r="AG13"/>
  <c r="AG24"/>
  <c r="AG38" s="1"/>
  <c r="AG4"/>
  <c r="AB28"/>
  <c r="N28"/>
  <c r="P6"/>
  <c r="P28" s="1"/>
  <c r="G54"/>
  <c r="I54" s="1"/>
  <c r="G33"/>
  <c r="I6"/>
  <c r="G28"/>
  <c r="R45"/>
  <c r="P32" i="5"/>
  <c r="Q32"/>
  <c r="M34"/>
  <c r="N34" s="1"/>
  <c r="O35"/>
  <c r="G38"/>
  <c r="G39" s="1"/>
  <c r="E55" i="6"/>
  <c r="F55"/>
  <c r="S35" i="1"/>
  <c r="S40" s="1"/>
  <c r="Q39"/>
  <c r="R40" s="1"/>
  <c r="R42" s="1"/>
  <c r="P35" i="5"/>
  <c r="Q35"/>
  <c r="I36"/>
  <c r="I38" s="1"/>
  <c r="I39" s="1"/>
  <c r="H38"/>
  <c r="H39" s="1"/>
  <c r="AF50" i="6" l="1"/>
  <c r="AB50"/>
  <c r="AD50" s="1"/>
  <c r="P42"/>
  <c r="AF38"/>
  <c r="P43"/>
  <c r="N45"/>
  <c r="N48"/>
  <c r="N44"/>
  <c r="P44" s="1"/>
  <c r="AB38"/>
  <c r="AG11"/>
  <c r="Y39"/>
  <c r="Y54" s="1"/>
  <c r="AF54" s="1"/>
  <c r="R47"/>
  <c r="U39"/>
  <c r="W33"/>
  <c r="W39" s="1"/>
  <c r="G53"/>
  <c r="D55"/>
  <c r="N46"/>
  <c r="N39"/>
  <c r="P33"/>
  <c r="P39" s="1"/>
  <c r="K51"/>
  <c r="K53" s="1"/>
  <c r="G51"/>
  <c r="I51" s="1"/>
  <c r="G39"/>
  <c r="I33"/>
  <c r="I39" s="1"/>
  <c r="I53"/>
  <c r="I55" s="1"/>
  <c r="G55"/>
  <c r="I28"/>
  <c r="S47"/>
  <c r="T47" s="1"/>
  <c r="Y47" s="1"/>
  <c r="R48"/>
  <c r="R46"/>
  <c r="S45"/>
  <c r="T45" s="1"/>
  <c r="Y45" s="1"/>
  <c r="O34" i="5"/>
  <c r="Q34" s="1"/>
  <c r="R44" i="6"/>
  <c r="S44" s="1"/>
  <c r="L51"/>
  <c r="L53" s="1"/>
  <c r="L55" s="1"/>
  <c r="J36" i="5"/>
  <c r="AB39" i="6" l="1"/>
  <c r="AB54" s="1"/>
  <c r="AD54" s="1"/>
  <c r="AD38"/>
  <c r="AD39" s="1"/>
  <c r="S42"/>
  <c r="T42" s="1"/>
  <c r="S48"/>
  <c r="T48" s="1"/>
  <c r="M51"/>
  <c r="M53" s="1"/>
  <c r="M55" s="1"/>
  <c r="U47"/>
  <c r="U45"/>
  <c r="W45" s="1"/>
  <c r="Z45" s="1"/>
  <c r="T44"/>
  <c r="Y44" s="1"/>
  <c r="U44"/>
  <c r="W44" s="1"/>
  <c r="S46"/>
  <c r="T46" s="1"/>
  <c r="Y46" s="1"/>
  <c r="N51"/>
  <c r="P51" s="1"/>
  <c r="K55"/>
  <c r="AG6"/>
  <c r="AG28" s="1"/>
  <c r="AG33" s="1"/>
  <c r="AG39" s="1"/>
  <c r="AG54" s="1"/>
  <c r="AF28"/>
  <c r="AF33" s="1"/>
  <c r="AF39" s="1"/>
  <c r="Z47"/>
  <c r="AA47" s="1"/>
  <c r="AG47" s="1"/>
  <c r="P34" i="5"/>
  <c r="R51" i="6"/>
  <c r="R53" s="1"/>
  <c r="J38" i="5"/>
  <c r="J39" s="1"/>
  <c r="K36"/>
  <c r="L36" s="1"/>
  <c r="L38" s="1"/>
  <c r="L39" s="1"/>
  <c r="U42" i="6" l="1"/>
  <c r="W42" s="1"/>
  <c r="Y42"/>
  <c r="Z42" s="1"/>
  <c r="AA42" s="1"/>
  <c r="AF42" s="1"/>
  <c r="AB47"/>
  <c r="AD47" s="1"/>
  <c r="U48"/>
  <c r="N53"/>
  <c r="P53" s="1"/>
  <c r="P55" s="1"/>
  <c r="AA45"/>
  <c r="AG45" s="1"/>
  <c r="Y48"/>
  <c r="U46"/>
  <c r="R55"/>
  <c r="Z44"/>
  <c r="AF47"/>
  <c r="S51"/>
  <c r="S53" s="1"/>
  <c r="S55" s="1"/>
  <c r="K38" i="5"/>
  <c r="K39" s="1"/>
  <c r="M36"/>
  <c r="AB45" i="6" l="1"/>
  <c r="AD45" s="1"/>
  <c r="N55"/>
  <c r="T51"/>
  <c r="T53" s="1"/>
  <c r="T55" s="1"/>
  <c r="W43"/>
  <c r="Z48"/>
  <c r="AA48" s="1"/>
  <c r="AF48" s="1"/>
  <c r="AF45"/>
  <c r="AB42"/>
  <c r="AD42" s="1"/>
  <c r="AA44"/>
  <c r="AG44" s="1"/>
  <c r="AG42"/>
  <c r="Y51"/>
  <c r="Y53" s="1"/>
  <c r="Y55" s="1"/>
  <c r="W46"/>
  <c r="Z46" s="1"/>
  <c r="U51"/>
  <c r="M38" i="5"/>
  <c r="M39" s="1"/>
  <c r="N36"/>
  <c r="AG48" i="6" l="1"/>
  <c r="U53"/>
  <c r="W53" s="1"/>
  <c r="W55" s="1"/>
  <c r="AB48"/>
  <c r="AD48" s="1"/>
  <c r="U55"/>
  <c r="AF44"/>
  <c r="AB44"/>
  <c r="AD44" s="1"/>
  <c r="AA46"/>
  <c r="AG46" s="1"/>
  <c r="Z51"/>
  <c r="Z53" s="1"/>
  <c r="W51"/>
  <c r="N38" i="5"/>
  <c r="N39" s="1"/>
  <c r="O36"/>
  <c r="AB46" i="6" l="1"/>
  <c r="AF46"/>
  <c r="Z55"/>
  <c r="AG43"/>
  <c r="AG51" s="1"/>
  <c r="AG53" s="1"/>
  <c r="AG55" s="1"/>
  <c r="O38" i="5"/>
  <c r="O39" s="1"/>
  <c r="P36"/>
  <c r="P38" s="1"/>
  <c r="Q36"/>
  <c r="Q38" s="1"/>
  <c r="Q39" s="1"/>
  <c r="Q40" s="1"/>
  <c r="AF43" i="6" l="1"/>
  <c r="AA51"/>
  <c r="AA53" s="1"/>
  <c r="AA55" s="1"/>
  <c r="AB51"/>
  <c r="AD46"/>
  <c r="AD51" s="1"/>
  <c r="AF51"/>
  <c r="AF53"/>
  <c r="AF55" s="1"/>
  <c r="AG57" s="1"/>
  <c r="AB53"/>
  <c r="AB55" l="1"/>
  <c r="AD53"/>
  <c r="AD55" s="1"/>
</calcChain>
</file>

<file path=xl/sharedStrings.xml><?xml version="1.0" encoding="utf-8"?>
<sst xmlns="http://schemas.openxmlformats.org/spreadsheetml/2006/main" count="301" uniqueCount="139">
  <si>
    <t>The Bradley Foundation</t>
  </si>
  <si>
    <t>Monthly Salary Expense Allocation</t>
  </si>
  <si>
    <t>Enter Annual</t>
  </si>
  <si>
    <t>Sub-Total</t>
  </si>
  <si>
    <t>Estimated</t>
  </si>
  <si>
    <t>Salary</t>
  </si>
  <si>
    <t>Total</t>
  </si>
  <si>
    <t>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</si>
  <si>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</si>
  <si>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</si>
  <si>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</si>
  <si>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</si>
  <si>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</si>
  <si>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</si>
  <si>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</si>
  <si>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</si>
  <si>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</si>
  <si>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</si>
  <si>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</si>
  <si>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</si>
  <si>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Payment</t>
  </si>
  <si>
    <t>Difference</t>
  </si>
  <si>
    <t>Total Gross Wages</t>
  </si>
  <si>
    <t>Employer Payroll Taxes:</t>
  </si>
  <si>
    <t>SERP</t>
  </si>
  <si>
    <t>Adjusted Gross Wages-FICA  HI (1.45%)</t>
  </si>
  <si>
    <t>Adjusted Gross Wages-FICA OASDI (6.2%)</t>
  </si>
  <si>
    <t>FICA - OASDI (6.2%)</t>
  </si>
  <si>
    <t>FICA - HI (1.45%)</t>
  </si>
  <si>
    <t>Total Employer Payroll Taxes</t>
  </si>
  <si>
    <t>Bergeron, William</t>
  </si>
  <si>
    <t>Hartmann, Michael</t>
  </si>
  <si>
    <t>Manning , Alicia</t>
  </si>
  <si>
    <t>Denham, Dionne</t>
  </si>
  <si>
    <t>Engel, Yvonne</t>
  </si>
  <si>
    <t>Famer, Terri</t>
  </si>
  <si>
    <t>Grebe, Michael</t>
  </si>
  <si>
    <t>Sehler, Dianne</t>
  </si>
  <si>
    <t>Schmidt, Daniel</t>
  </si>
  <si>
    <t>Cavender, Gary</t>
  </si>
  <si>
    <t>Friauf, Cynthia</t>
  </si>
  <si>
    <t>Gruenberg, Dennis</t>
  </si>
  <si>
    <t>Lempke, Michael</t>
  </si>
  <si>
    <t>M. Grebe imputed income for life insurance</t>
  </si>
  <si>
    <t>M. Grebe gross up for term life insurance</t>
  </si>
  <si>
    <t xml:space="preserve">Payment of M. Grebe retention bonus </t>
  </si>
  <si>
    <t>Lask, Diane</t>
  </si>
  <si>
    <t>Riordan, Janet</t>
  </si>
  <si>
    <t>Hess, Mandy</t>
  </si>
  <si>
    <t>Mariaselvanayagam, Clement</t>
  </si>
  <si>
    <t>Peters, Judy</t>
  </si>
  <si>
    <t>Additional position</t>
  </si>
  <si>
    <t>Incentive Payment</t>
  </si>
  <si>
    <t>Salary eligible for SEP Contribution</t>
  </si>
  <si>
    <t>SEP rate</t>
  </si>
  <si>
    <t>Total SEP</t>
  </si>
  <si>
    <t>SEP Contribution</t>
  </si>
  <si>
    <t>Grebe, Michael -Retention/Insurance</t>
  </si>
  <si>
    <t>Sub total</t>
  </si>
  <si>
    <t>MWG</t>
  </si>
  <si>
    <t>CF</t>
  </si>
  <si>
    <t>DJS</t>
  </si>
  <si>
    <t>MH</t>
  </si>
  <si>
    <t>ML</t>
  </si>
  <si>
    <t>Position Adjustments</t>
  </si>
  <si>
    <t>SEP Estimate</t>
  </si>
  <si>
    <t>Total Salary Budget</t>
  </si>
  <si>
    <t xml:space="preserve">Sub Total Gross Wages </t>
  </si>
  <si>
    <t>Total Wages</t>
  </si>
  <si>
    <t>Salaries</t>
  </si>
  <si>
    <t>Incentive</t>
  </si>
  <si>
    <t>Norton, Robert</t>
  </si>
  <si>
    <t>Rohr, Stephanie</t>
  </si>
  <si>
    <t>RN</t>
  </si>
  <si>
    <t>Less: Excess regular wages over $106,800</t>
  </si>
  <si>
    <t>Deduct Dan Schmidt (up to</t>
  </si>
  <si>
    <t>Deduct Bob Norton (up to</t>
  </si>
  <si>
    <t>Deduct Mike Grebe (up to</t>
  </si>
  <si>
    <t>Total 4.5%</t>
  </si>
  <si>
    <t>Pacioni, Karen</t>
  </si>
  <si>
    <t>LT Disability (CF, MWG, MLH, DJS, JP, YE, TF, RN)</t>
  </si>
  <si>
    <t>2011 Final Salary Budget 1-4-11</t>
  </si>
  <si>
    <t>King, Dionne</t>
  </si>
  <si>
    <t>QTD</t>
  </si>
  <si>
    <t>Bene-Chex</t>
  </si>
  <si>
    <t>Actual Incentive</t>
  </si>
  <si>
    <t>Footnote</t>
  </si>
  <si>
    <t>QUARTER 1</t>
  </si>
  <si>
    <t>Employee</t>
  </si>
  <si>
    <t>Gross wages</t>
  </si>
  <si>
    <t>FICA taxable</t>
  </si>
  <si>
    <t>Excess wages</t>
  </si>
  <si>
    <t>Grebe</t>
  </si>
  <si>
    <t>QUARTER 2</t>
  </si>
  <si>
    <t>Schmidt</t>
  </si>
  <si>
    <t>QUARTER 3</t>
  </si>
  <si>
    <t>Friauf</t>
  </si>
  <si>
    <t>QUARTER 4</t>
  </si>
  <si>
    <t>Sehler</t>
  </si>
  <si>
    <t>Hartmann</t>
  </si>
  <si>
    <t>Lempke</t>
  </si>
  <si>
    <t>Norton</t>
  </si>
  <si>
    <t>DPS</t>
  </si>
  <si>
    <t>Cavender - salary budget $6,300.00 vs. actual $6,081.73</t>
  </si>
  <si>
    <t>Grebe - $2,000.00 taxable employer contribution to spouse HSA account</t>
  </si>
  <si>
    <t>Grueneberg, Dennis</t>
  </si>
  <si>
    <t>Grueneberg - salary budget $6,056.25 vs. actual $6,224.26</t>
  </si>
  <si>
    <t>LTD taxable election budget $3,600.00 vs. actual $3,546.21</t>
  </si>
  <si>
    <t>Manning - STD payments not entered, but salary reduced by $71.42 (Jan) + $428.57 (Feb); 3rd party sick pay issue fix to be pushed out 3/16/11</t>
  </si>
  <si>
    <t>Engel - STD 3rd party sick pay $200.00 (May) + $200.00 (June); salary reduced accordingly</t>
  </si>
  <si>
    <t>Grebe - term life insurance budget $53,200.00 vs. actual $53,156.73</t>
  </si>
  <si>
    <t>Grueneberg - salary budget $6,056.25 vs. actual $5,892.38</t>
  </si>
  <si>
    <t>Rohr - $6.73 extra/straight time to restart computer tape December 31 (paid in January)</t>
  </si>
  <si>
    <t>King - $66.10 extra/straight time + $545.35 overtime for May DC events (paid in June)</t>
  </si>
  <si>
    <t>Rohr - $26.92 extra/straight time + $40.39 OT paid in error in April; ($40.39) correction processed in May</t>
  </si>
  <si>
    <t>Cavender - salary budget $6,300.00 vs. actual $6,735.94; last day June 24, 2011</t>
  </si>
  <si>
    <t>Riordan - reverse 2011 spouse vision election ($1.10 x 4) processed in May</t>
  </si>
  <si>
    <t>Hess</t>
  </si>
  <si>
    <t>Cavender - salary budget $6,300.00 vs. actual $2,398.77; last day June 24, 2011</t>
  </si>
  <si>
    <t>Grueneberg - salary budget $6,056.25 vs. actual $8500.85; increase to 30 hours every week effective 7/1/11</t>
  </si>
  <si>
    <t>King - $128.90 overtime for February board meetings (paid in March)</t>
  </si>
  <si>
    <t>King - $85.93 overtime for August board meetings (paid in September)</t>
  </si>
  <si>
    <t>Engel - STD 3rd party sick pay $15.00 (July); salary reduced accordingly</t>
  </si>
  <si>
    <t>Platt, Laura</t>
  </si>
  <si>
    <t>B</t>
  </si>
  <si>
    <t>Cavender - salary budget $3,600.00 vs. actual $0.00; last day was June 24, 2011</t>
  </si>
  <si>
    <t>Grueneberg - salary budget $2,018.75 vs. actual $4,171.40 (includes $900.00 bonus); increased hours effective 7/1/11</t>
  </si>
  <si>
    <t>21, B</t>
  </si>
  <si>
    <t>King - $585.00 overtime for Sept Kohler conference (paid in October)</t>
  </si>
  <si>
    <t>22, B</t>
  </si>
  <si>
    <t>Pacioni - $412.52 overtime for Sept Kohler conference (paid in October)</t>
  </si>
  <si>
    <t>23, B</t>
  </si>
  <si>
    <t>20, B</t>
  </si>
  <si>
    <t>Platt - new hire 10/24/11 (overlap in Accountant position)</t>
  </si>
  <si>
    <t>Schmidt - $9,405.00 SERP (Oct $750.00; Nov $3,750.00; Dec $4,905.00)</t>
  </si>
  <si>
    <t>[Q4 - substracted Dan's SERP]</t>
  </si>
  <si>
    <t>Year end bonus</t>
  </si>
  <si>
    <t>MLH</t>
  </si>
  <si>
    <t>Total Salary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</si>
</sst>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_);[Red]\(0.0000\)"/>
    <numFmt numFmtId="166" formatCode="_(&quot;$&quot;* #,##0_);_(&quot;$&quot;* \(#,##0\);_(&quot;$&quot;* &quot;-&quot;??_);_(@_)"/>
  </numFmts>
  <fonts count="11">
    <font>
      <sz val="12"/>
      <name val="Arial MT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u val="double"/>
      <sz val="11"/>
      <name val="Times New Roman"/>
      <family val="1"/>
    </font>
    <font>
      <b/>
      <sz val="11"/>
      <name val="Times New Roman"/>
      <family val="1"/>
    </font>
    <font>
      <u val="doubleAccounting"/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9" fontId="3" fillId="0" borderId="0" xfId="0" applyNumberFormat="1" applyFont="1" applyProtection="1"/>
    <xf numFmtId="7" fontId="3" fillId="0" borderId="0" xfId="0" applyNumberFormat="1" applyFont="1" applyProtection="1"/>
    <xf numFmtId="39" fontId="5" fillId="0" borderId="1" xfId="0" applyNumberFormat="1" applyFont="1" applyBorder="1" applyProtection="1"/>
    <xf numFmtId="39" fontId="5" fillId="0" borderId="0" xfId="0" applyNumberFormat="1" applyFont="1" applyProtection="1"/>
    <xf numFmtId="7" fontId="5" fillId="0" borderId="1" xfId="0" applyNumberFormat="1" applyFont="1" applyBorder="1" applyProtection="1"/>
    <xf numFmtId="7" fontId="5" fillId="0" borderId="0" xfId="0" applyNumberFormat="1" applyFont="1" applyProtection="1"/>
    <xf numFmtId="0" fontId="3" fillId="0" borderId="0" xfId="0" applyFont="1" applyAlignment="1">
      <alignment horizontal="right"/>
    </xf>
    <xf numFmtId="39" fontId="3" fillId="0" borderId="2" xfId="0" applyNumberFormat="1" applyFont="1" applyBorder="1" applyProtection="1"/>
    <xf numFmtId="43" fontId="3" fillId="0" borderId="0" xfId="1" applyFont="1" applyProtection="1"/>
    <xf numFmtId="39" fontId="3" fillId="0" borderId="0" xfId="0" applyNumberFormat="1" applyFont="1" applyBorder="1" applyProtection="1"/>
    <xf numFmtId="39" fontId="7" fillId="0" borderId="1" xfId="0" applyNumberFormat="1" applyFont="1" applyBorder="1" applyProtection="1"/>
    <xf numFmtId="4" fontId="3" fillId="0" borderId="0" xfId="0" applyNumberFormat="1" applyFont="1"/>
    <xf numFmtId="39" fontId="3" fillId="0" borderId="0" xfId="0" applyNumberFormat="1" applyFont="1"/>
    <xf numFmtId="39" fontId="3" fillId="0" borderId="4" xfId="0" applyNumberFormat="1" applyFont="1" applyBorder="1" applyProtection="1"/>
    <xf numFmtId="43" fontId="3" fillId="0" borderId="0" xfId="1" applyFont="1" applyFill="1"/>
    <xf numFmtId="0" fontId="3" fillId="0" borderId="0" xfId="0" applyFont="1" applyFill="1"/>
    <xf numFmtId="40" fontId="3" fillId="0" borderId="0" xfId="0" applyNumberFormat="1" applyFont="1"/>
    <xf numFmtId="40" fontId="4" fillId="0" borderId="0" xfId="0" applyNumberFormat="1" applyFont="1"/>
    <xf numFmtId="0" fontId="3" fillId="0" borderId="0" xfId="0" applyFont="1" applyAlignment="1">
      <alignment horizontal="center" wrapText="1"/>
    </xf>
    <xf numFmtId="39" fontId="3" fillId="0" borderId="5" xfId="0" applyNumberFormat="1" applyFont="1" applyBorder="1"/>
    <xf numFmtId="7" fontId="3" fillId="0" borderId="0" xfId="0" applyNumberFormat="1" applyFont="1" applyFill="1" applyProtection="1"/>
    <xf numFmtId="39" fontId="3" fillId="0" borderId="0" xfId="0" applyNumberFormat="1" applyFont="1" applyFill="1" applyProtection="1"/>
    <xf numFmtId="0" fontId="3" fillId="0" borderId="0" xfId="0" applyFont="1" applyAlignment="1"/>
    <xf numFmtId="165" fontId="3" fillId="0" borderId="0" xfId="0" applyNumberFormat="1" applyFont="1"/>
    <xf numFmtId="164" fontId="3" fillId="0" borderId="0" xfId="3" applyNumberFormat="1" applyFont="1" applyFill="1" applyAlignment="1">
      <alignment horizontal="center"/>
    </xf>
    <xf numFmtId="10" fontId="3" fillId="0" borderId="0" xfId="3" applyNumberFormat="1" applyFont="1" applyFill="1" applyAlignment="1">
      <alignment horizontal="center"/>
    </xf>
    <xf numFmtId="166" fontId="3" fillId="0" borderId="0" xfId="2" applyNumberFormat="1" applyFont="1" applyFill="1"/>
    <xf numFmtId="7" fontId="3" fillId="0" borderId="0" xfId="1" applyNumberFormat="1" applyFont="1" applyFill="1"/>
    <xf numFmtId="40" fontId="3" fillId="0" borderId="0" xfId="0" applyNumberFormat="1" applyFont="1" applyFill="1"/>
    <xf numFmtId="0" fontId="3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Fill="1" applyProtection="1"/>
    <xf numFmtId="0" fontId="3" fillId="0" borderId="0" xfId="0" applyNumberFormat="1" applyFont="1" applyFill="1"/>
    <xf numFmtId="0" fontId="3" fillId="0" borderId="0" xfId="0" applyNumberFormat="1" applyFont="1" applyFill="1" applyAlignment="1" applyProtection="1">
      <alignment horizontal="center"/>
    </xf>
    <xf numFmtId="0" fontId="9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0" xfId="0" applyFont="1" applyBorder="1"/>
    <xf numFmtId="4" fontId="10" fillId="0" borderId="0" xfId="1" applyNumberFormat="1" applyFont="1" applyBorder="1" applyAlignment="1"/>
    <xf numFmtId="4" fontId="3" fillId="0" borderId="0" xfId="0" applyNumberFormat="1" applyFont="1" applyBorder="1"/>
    <xf numFmtId="4" fontId="3" fillId="0" borderId="0" xfId="1" applyNumberFormat="1" applyFont="1"/>
    <xf numFmtId="4" fontId="10" fillId="0" borderId="0" xfId="1" applyNumberFormat="1" applyFont="1" applyAlignment="1"/>
    <xf numFmtId="4" fontId="3" fillId="0" borderId="3" xfId="0" applyNumberFormat="1" applyFont="1" applyBorder="1"/>
    <xf numFmtId="7" fontId="3" fillId="0" borderId="3" xfId="0" applyNumberFormat="1" applyFont="1" applyBorder="1" applyProtection="1"/>
    <xf numFmtId="7" fontId="3" fillId="0" borderId="0" xfId="0" applyNumberFormat="1" applyFont="1" applyBorder="1" applyProtection="1"/>
    <xf numFmtId="43" fontId="3" fillId="0" borderId="0" xfId="1" applyNumberFormat="1" applyFont="1"/>
    <xf numFmtId="0" fontId="3" fillId="0" borderId="0" xfId="0" applyFont="1" applyBorder="1" applyAlignment="1">
      <alignment horizontal="center"/>
    </xf>
    <xf numFmtId="43" fontId="3" fillId="0" borderId="0" xfId="1" applyFont="1"/>
    <xf numFmtId="43" fontId="3" fillId="0" borderId="0" xfId="1" applyFont="1" applyBorder="1"/>
    <xf numFmtId="7" fontId="3" fillId="0" borderId="0" xfId="0" applyNumberFormat="1" applyFont="1" applyAlignment="1" applyProtection="1">
      <alignment horizontal="center"/>
    </xf>
    <xf numFmtId="39" fontId="3" fillId="0" borderId="3" xfId="0" applyNumberFormat="1" applyFont="1" applyBorder="1" applyProtection="1"/>
    <xf numFmtId="4" fontId="3" fillId="0" borderId="6" xfId="0" applyNumberFormat="1" applyFont="1" applyBorder="1"/>
    <xf numFmtId="7" fontId="5" fillId="0" borderId="7" xfId="0" applyNumberFormat="1" applyFont="1" applyBorder="1" applyProtection="1"/>
    <xf numFmtId="43" fontId="2" fillId="0" borderId="0" xfId="0" applyNumberFormat="1" applyFont="1"/>
    <xf numFmtId="1" fontId="3" fillId="0" borderId="0" xfId="1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9" fontId="3" fillId="3" borderId="0" xfId="0" applyNumberFormat="1" applyFont="1" applyFill="1" applyProtection="1"/>
    <xf numFmtId="7" fontId="3" fillId="3" borderId="0" xfId="0" applyNumberFormat="1" applyFont="1" applyFill="1" applyProtection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CM185"/>
  <sheetViews>
    <sheetView defaultGridColor="0" topLeftCell="A28" colorId="22" zoomScale="75" zoomScaleNormal="87" workbookViewId="0">
      <pane xSplit="1" topLeftCell="I1" activePane="topRight" state="frozen"/>
      <selection pane="topRight" activeCell="N43" sqref="N43"/>
    </sheetView>
  </sheetViews>
  <sheetFormatPr defaultColWidth="9.77734375" defaultRowHeight="15"/>
  <cols>
    <col min="1" max="1" width="22.109375" style="1" customWidth="1"/>
    <col min="2" max="2" width="11.88671875" style="1" customWidth="1"/>
    <col min="3" max="3" width="12.33203125" style="1" customWidth="1"/>
    <col min="4" max="6" width="10.21875" style="1" bestFit="1" customWidth="1"/>
    <col min="7" max="10" width="10.21875" style="1" customWidth="1"/>
    <col min="11" max="11" width="10.21875" style="1" bestFit="1" customWidth="1"/>
    <col min="12" max="12" width="10.44140625" style="1" bestFit="1" customWidth="1"/>
    <col min="13" max="13" width="10.21875" style="1" bestFit="1" customWidth="1"/>
    <col min="14" max="14" width="11.44140625" style="1" customWidth="1"/>
    <col min="15" max="15" width="11.5546875" style="1" customWidth="1"/>
    <col min="16" max="16" width="11.6640625" style="1" customWidth="1"/>
    <col min="17" max="17" width="10.21875" style="1" customWidth="1"/>
    <col min="18" max="18" width="11.5546875" style="1" customWidth="1"/>
    <col min="19" max="19" width="11.6640625" style="1" customWidth="1"/>
    <col min="20" max="20" width="10.21875" style="1" bestFit="1" customWidth="1"/>
    <col min="21" max="22" width="10.21875" style="1" customWidth="1"/>
    <col min="23" max="23" width="12.5546875" style="1" customWidth="1"/>
    <col min="24" max="24" width="10.21875" style="1" customWidth="1"/>
    <col min="25" max="25" width="10.21875" style="1" bestFit="1" customWidth="1"/>
    <col min="26" max="26" width="10.77734375" style="1" bestFit="1" customWidth="1"/>
    <col min="27" max="30" width="13.21875" style="1" customWidth="1"/>
    <col min="31" max="31" width="9.6640625" style="1" customWidth="1"/>
    <col min="32" max="32" width="11.5546875" style="1" bestFit="1" customWidth="1"/>
    <col min="33" max="33" width="10.33203125" style="1" customWidth="1"/>
    <col min="34" max="34" width="12.6640625" style="1" customWidth="1"/>
    <col min="35" max="35" width="11.44140625" style="1" customWidth="1"/>
    <col min="36" max="91" width="9.77734375" style="1"/>
  </cols>
  <sheetData>
    <row r="1" spans="1:35" s="1" customFormat="1" ht="30">
      <c r="A1" s="3"/>
      <c r="B1" s="3"/>
      <c r="C1" s="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35"/>
      <c r="AC1" s="35"/>
      <c r="AD1" s="35"/>
      <c r="AE1" s="54"/>
      <c r="AF1" s="2" t="s">
        <v>5</v>
      </c>
      <c r="AG1" s="24" t="s">
        <v>52</v>
      </c>
      <c r="AH1" s="24" t="s">
        <v>85</v>
      </c>
      <c r="AI1" s="5" t="s">
        <v>138</v>
      </c>
    </row>
    <row r="2" spans="1:35" s="1" customFormat="1">
      <c r="A2" s="5" t="s">
        <v>7</v>
      </c>
      <c r="B2" s="5">
        <v>2010</v>
      </c>
      <c r="C2" s="5">
        <v>2011</v>
      </c>
      <c r="D2" s="5" t="s">
        <v>8</v>
      </c>
      <c r="E2" s="5" t="s">
        <v>9</v>
      </c>
      <c r="F2" s="5" t="s">
        <v>10</v>
      </c>
      <c r="G2" s="5" t="s">
        <v>83</v>
      </c>
      <c r="H2" s="36" t="s">
        <v>84</v>
      </c>
      <c r="I2" s="5" t="s">
        <v>21</v>
      </c>
      <c r="J2" s="5" t="s">
        <v>86</v>
      </c>
      <c r="K2" s="5" t="s">
        <v>11</v>
      </c>
      <c r="L2" s="5" t="s">
        <v>12</v>
      </c>
      <c r="M2" s="5" t="s">
        <v>13</v>
      </c>
      <c r="N2" s="5" t="s">
        <v>83</v>
      </c>
      <c r="O2" s="36" t="s">
        <v>84</v>
      </c>
      <c r="P2" s="5" t="s">
        <v>21</v>
      </c>
      <c r="Q2" s="5" t="s">
        <v>86</v>
      </c>
      <c r="R2" s="5" t="s">
        <v>14</v>
      </c>
      <c r="S2" s="5" t="s">
        <v>15</v>
      </c>
      <c r="T2" s="5" t="s">
        <v>16</v>
      </c>
      <c r="U2" s="5" t="s">
        <v>83</v>
      </c>
      <c r="V2" s="36" t="s">
        <v>84</v>
      </c>
      <c r="W2" s="5" t="s">
        <v>21</v>
      </c>
      <c r="X2" s="5" t="s">
        <v>86</v>
      </c>
      <c r="Y2" s="5" t="s">
        <v>17</v>
      </c>
      <c r="Z2" s="5" t="s">
        <v>18</v>
      </c>
      <c r="AA2" s="5" t="s">
        <v>19</v>
      </c>
      <c r="AB2" s="5" t="s">
        <v>83</v>
      </c>
      <c r="AC2" s="36" t="s">
        <v>84</v>
      </c>
      <c r="AD2" s="5" t="s">
        <v>21</v>
      </c>
      <c r="AE2" s="5" t="s">
        <v>86</v>
      </c>
      <c r="AF2" s="5" t="s">
        <v>3</v>
      </c>
      <c r="AG2" s="5">
        <f>IGNORE!R9</f>
        <v>0.03</v>
      </c>
      <c r="AH2" s="5" t="s">
        <v>20</v>
      </c>
    </row>
    <row r="3" spans="1:35" s="1" customFormat="1">
      <c r="AH3" s="3"/>
    </row>
    <row r="4" spans="1:35" s="1" customFormat="1">
      <c r="A4" s="3" t="s">
        <v>30</v>
      </c>
      <c r="B4" s="22">
        <v>38600</v>
      </c>
      <c r="C4" s="22">
        <v>42000</v>
      </c>
      <c r="D4" s="7">
        <f t="shared" ref="D4:AA9" si="0">+$C4/12</f>
        <v>3500</v>
      </c>
      <c r="E4" s="7">
        <f t="shared" si="0"/>
        <v>3500</v>
      </c>
      <c r="F4" s="7">
        <f t="shared" si="0"/>
        <v>3500</v>
      </c>
      <c r="G4" s="7">
        <f>SUM(D4:F4)</f>
        <v>10500</v>
      </c>
      <c r="H4" s="7">
        <v>10500</v>
      </c>
      <c r="I4" s="7">
        <f>SUM(G4-H4)</f>
        <v>0</v>
      </c>
      <c r="J4" s="37"/>
      <c r="K4" s="7">
        <f t="shared" si="0"/>
        <v>3500</v>
      </c>
      <c r="L4" s="7">
        <f t="shared" si="0"/>
        <v>3500</v>
      </c>
      <c r="M4" s="7">
        <f t="shared" si="0"/>
        <v>3500</v>
      </c>
      <c r="N4" s="7">
        <f>SUM(K4:M4)</f>
        <v>10500</v>
      </c>
      <c r="O4" s="7">
        <v>10500</v>
      </c>
      <c r="P4" s="7">
        <f>N4-O4</f>
        <v>0</v>
      </c>
      <c r="Q4" s="7"/>
      <c r="R4" s="7">
        <f t="shared" si="0"/>
        <v>3500</v>
      </c>
      <c r="S4" s="7">
        <f t="shared" si="0"/>
        <v>3500</v>
      </c>
      <c r="T4" s="7">
        <f t="shared" si="0"/>
        <v>3500</v>
      </c>
      <c r="U4" s="7">
        <f>SUM(R4:T4)</f>
        <v>10500</v>
      </c>
      <c r="V4" s="7">
        <v>10500</v>
      </c>
      <c r="W4" s="7">
        <f>U4-V4</f>
        <v>0</v>
      </c>
      <c r="X4" s="7"/>
      <c r="Y4" s="7">
        <f t="shared" si="0"/>
        <v>3500</v>
      </c>
      <c r="Z4" s="7">
        <f t="shared" si="0"/>
        <v>3500</v>
      </c>
      <c r="AA4" s="7">
        <f t="shared" si="0"/>
        <v>3500</v>
      </c>
      <c r="AB4" s="7">
        <f>SUM(Y4:AA4)</f>
        <v>10500</v>
      </c>
      <c r="AC4" s="7">
        <v>11900</v>
      </c>
      <c r="AD4" s="7">
        <f>AB4-AC4</f>
        <v>-1400</v>
      </c>
      <c r="AE4" s="57" t="s">
        <v>124</v>
      </c>
      <c r="AF4" s="69">
        <f t="shared" ref="AF4:AF23" si="1">+G4+N4+U4+AB4</f>
        <v>42000</v>
      </c>
      <c r="AG4" s="14">
        <f t="shared" ref="AG4:AG8" si="2">AF4*$AG$2</f>
        <v>1260</v>
      </c>
      <c r="AH4" s="55">
        <v>1400</v>
      </c>
      <c r="AI4" s="69">
        <f t="shared" ref="AI4:AI23" si="3">+AF4+AH4</f>
        <v>43400</v>
      </c>
    </row>
    <row r="5" spans="1:35" s="1" customFormat="1">
      <c r="A5" s="3" t="s">
        <v>39</v>
      </c>
      <c r="B5" s="22">
        <v>24850</v>
      </c>
      <c r="C5" s="22">
        <v>25200</v>
      </c>
      <c r="D5" s="7">
        <f t="shared" si="0"/>
        <v>2100</v>
      </c>
      <c r="E5" s="7">
        <f t="shared" si="0"/>
        <v>2100</v>
      </c>
      <c r="F5" s="7">
        <f t="shared" si="0"/>
        <v>2100</v>
      </c>
      <c r="G5" s="7">
        <f t="shared" ref="G5:G9" si="4">SUM(D5:F5)</f>
        <v>6300</v>
      </c>
      <c r="H5" s="7">
        <v>6081.73</v>
      </c>
      <c r="I5" s="7">
        <f t="shared" ref="I5:I9" si="5">SUM(G5-H5)</f>
        <v>218.27000000000044</v>
      </c>
      <c r="J5" s="38">
        <v>1</v>
      </c>
      <c r="K5" s="7">
        <f t="shared" si="0"/>
        <v>2100</v>
      </c>
      <c r="L5" s="7">
        <f t="shared" si="0"/>
        <v>2100</v>
      </c>
      <c r="M5" s="7">
        <f t="shared" si="0"/>
        <v>2100</v>
      </c>
      <c r="N5" s="7">
        <f t="shared" ref="N5:N9" si="6">SUM(K5:M5)</f>
        <v>6300</v>
      </c>
      <c r="O5" s="7">
        <v>6735.94</v>
      </c>
      <c r="P5" s="7">
        <f t="shared" ref="P5:P27" si="7">N5-O5</f>
        <v>-435.9399999999996</v>
      </c>
      <c r="Q5" s="38">
        <v>8</v>
      </c>
      <c r="R5" s="7">
        <f t="shared" si="0"/>
        <v>2100</v>
      </c>
      <c r="S5" s="7">
        <f t="shared" si="0"/>
        <v>2100</v>
      </c>
      <c r="T5" s="7">
        <f t="shared" si="0"/>
        <v>2100</v>
      </c>
      <c r="U5" s="7">
        <f t="shared" ref="U5:U9" si="8">SUM(R5:T5)</f>
        <v>6300</v>
      </c>
      <c r="V5" s="7">
        <v>2398.77</v>
      </c>
      <c r="W5" s="7">
        <f t="shared" ref="W5:W27" si="9">U5-V5</f>
        <v>3901.23</v>
      </c>
      <c r="X5" s="38">
        <v>15</v>
      </c>
      <c r="Y5" s="7">
        <f t="shared" si="0"/>
        <v>2100</v>
      </c>
      <c r="Z5" s="7">
        <f t="shared" si="0"/>
        <v>2100</v>
      </c>
      <c r="AA5" s="7">
        <f t="shared" si="0"/>
        <v>2100</v>
      </c>
      <c r="AB5" s="7">
        <f t="shared" ref="AB5:AB9" si="10">SUM(Y5:AA5)</f>
        <v>6300</v>
      </c>
      <c r="AC5" s="7">
        <v>0</v>
      </c>
      <c r="AD5" s="7">
        <f t="shared" ref="AD5:AD9" si="11">AB5-AC5</f>
        <v>6300</v>
      </c>
      <c r="AE5" s="38">
        <v>19</v>
      </c>
      <c r="AF5" s="69">
        <f t="shared" si="1"/>
        <v>25200</v>
      </c>
      <c r="AG5" s="14">
        <f t="shared" si="2"/>
        <v>756</v>
      </c>
      <c r="AH5" s="55">
        <v>0</v>
      </c>
      <c r="AI5" s="69">
        <f t="shared" si="3"/>
        <v>25200</v>
      </c>
    </row>
    <row r="6" spans="1:35" s="1" customFormat="1">
      <c r="A6" s="3" t="s">
        <v>34</v>
      </c>
      <c r="B6" s="22">
        <f>IGNORE!B14</f>
        <v>66000</v>
      </c>
      <c r="C6" s="22">
        <f>IGNORE!D14</f>
        <v>67000</v>
      </c>
      <c r="D6" s="7">
        <f t="shared" si="0"/>
        <v>5583.333333333333</v>
      </c>
      <c r="E6" s="7">
        <f t="shared" si="0"/>
        <v>5583.333333333333</v>
      </c>
      <c r="F6" s="7">
        <f t="shared" si="0"/>
        <v>5583.333333333333</v>
      </c>
      <c r="G6" s="7">
        <f t="shared" si="4"/>
        <v>16750</v>
      </c>
      <c r="H6" s="7">
        <v>16749.990000000002</v>
      </c>
      <c r="I6" s="7">
        <f t="shared" si="5"/>
        <v>9.9999999983992893E-3</v>
      </c>
      <c r="J6" s="37"/>
      <c r="K6" s="7">
        <f t="shared" si="0"/>
        <v>5583.333333333333</v>
      </c>
      <c r="L6" s="7">
        <f t="shared" si="0"/>
        <v>5583.333333333333</v>
      </c>
      <c r="M6" s="7">
        <f t="shared" si="0"/>
        <v>5583.333333333333</v>
      </c>
      <c r="N6" s="7">
        <f t="shared" si="6"/>
        <v>16750</v>
      </c>
      <c r="O6" s="7">
        <v>16349.99</v>
      </c>
      <c r="P6" s="7">
        <f t="shared" si="7"/>
        <v>400.01000000000022</v>
      </c>
      <c r="Q6" s="38">
        <v>9</v>
      </c>
      <c r="R6" s="7">
        <f t="shared" si="0"/>
        <v>5583.333333333333</v>
      </c>
      <c r="S6" s="7">
        <f t="shared" si="0"/>
        <v>5583.333333333333</v>
      </c>
      <c r="T6" s="7">
        <f t="shared" si="0"/>
        <v>5583.333333333333</v>
      </c>
      <c r="U6" s="7">
        <f t="shared" si="8"/>
        <v>16750</v>
      </c>
      <c r="V6" s="7">
        <v>16734.990000000002</v>
      </c>
      <c r="W6" s="7">
        <f t="shared" si="9"/>
        <v>15.009999999998399</v>
      </c>
      <c r="X6" s="38">
        <v>16</v>
      </c>
      <c r="Y6" s="7">
        <f t="shared" si="0"/>
        <v>5583.333333333333</v>
      </c>
      <c r="Z6" s="7">
        <f t="shared" si="0"/>
        <v>5583.333333333333</v>
      </c>
      <c r="AA6" s="7">
        <f t="shared" si="0"/>
        <v>5583.333333333333</v>
      </c>
      <c r="AB6" s="7">
        <f t="shared" si="10"/>
        <v>16750</v>
      </c>
      <c r="AC6" s="7">
        <v>18749.990000000002</v>
      </c>
      <c r="AD6" s="7">
        <f t="shared" si="11"/>
        <v>-1999.9900000000016</v>
      </c>
      <c r="AE6" s="57" t="s">
        <v>124</v>
      </c>
      <c r="AF6" s="69">
        <f t="shared" si="1"/>
        <v>67000</v>
      </c>
      <c r="AG6" s="14">
        <f t="shared" si="2"/>
        <v>2010</v>
      </c>
      <c r="AH6" s="55">
        <v>2000</v>
      </c>
      <c r="AI6" s="69">
        <f t="shared" si="3"/>
        <v>69000</v>
      </c>
    </row>
    <row r="7" spans="1:35" s="1" customFormat="1">
      <c r="A7" s="3" t="s">
        <v>35</v>
      </c>
      <c r="B7" s="22">
        <v>69100</v>
      </c>
      <c r="C7" s="22">
        <v>75000</v>
      </c>
      <c r="D7" s="7">
        <f t="shared" si="0"/>
        <v>6250</v>
      </c>
      <c r="E7" s="7">
        <f t="shared" si="0"/>
        <v>6250</v>
      </c>
      <c r="F7" s="7">
        <f t="shared" si="0"/>
        <v>6250</v>
      </c>
      <c r="G7" s="7">
        <f t="shared" si="4"/>
        <v>18750</v>
      </c>
      <c r="H7" s="7">
        <v>18750</v>
      </c>
      <c r="I7" s="7">
        <f t="shared" si="5"/>
        <v>0</v>
      </c>
      <c r="J7" s="37"/>
      <c r="K7" s="7">
        <f t="shared" si="0"/>
        <v>6250</v>
      </c>
      <c r="L7" s="7">
        <f t="shared" si="0"/>
        <v>6250</v>
      </c>
      <c r="M7" s="7">
        <f t="shared" si="0"/>
        <v>6250</v>
      </c>
      <c r="N7" s="7">
        <f t="shared" si="6"/>
        <v>18750</v>
      </c>
      <c r="O7" s="7">
        <v>18750</v>
      </c>
      <c r="P7" s="7">
        <f t="shared" si="7"/>
        <v>0</v>
      </c>
      <c r="Q7" s="7"/>
      <c r="R7" s="7">
        <f t="shared" si="0"/>
        <v>6250</v>
      </c>
      <c r="S7" s="7">
        <f t="shared" si="0"/>
        <v>6250</v>
      </c>
      <c r="T7" s="7">
        <f t="shared" si="0"/>
        <v>6250</v>
      </c>
      <c r="U7" s="7">
        <f t="shared" si="8"/>
        <v>18750</v>
      </c>
      <c r="V7" s="7">
        <v>18750</v>
      </c>
      <c r="W7" s="7">
        <f t="shared" si="9"/>
        <v>0</v>
      </c>
      <c r="X7" s="7"/>
      <c r="Y7" s="7">
        <f t="shared" si="0"/>
        <v>6250</v>
      </c>
      <c r="Z7" s="7">
        <f t="shared" si="0"/>
        <v>6250</v>
      </c>
      <c r="AA7" s="7">
        <f t="shared" si="0"/>
        <v>6250</v>
      </c>
      <c r="AB7" s="7">
        <f t="shared" si="10"/>
        <v>18750</v>
      </c>
      <c r="AC7" s="7">
        <v>21050</v>
      </c>
      <c r="AD7" s="7">
        <f t="shared" si="11"/>
        <v>-2300</v>
      </c>
      <c r="AE7" s="57" t="s">
        <v>124</v>
      </c>
      <c r="AF7" s="69">
        <f t="shared" si="1"/>
        <v>75000</v>
      </c>
      <c r="AG7" s="14">
        <f t="shared" si="2"/>
        <v>2250</v>
      </c>
      <c r="AH7" s="55">
        <v>2300</v>
      </c>
      <c r="AI7" s="69">
        <f t="shared" si="3"/>
        <v>77300</v>
      </c>
    </row>
    <row r="8" spans="1:35" s="1" customFormat="1">
      <c r="A8" s="3" t="s">
        <v>40</v>
      </c>
      <c r="B8" s="22">
        <v>186800</v>
      </c>
      <c r="C8" s="22">
        <v>200000</v>
      </c>
      <c r="D8" s="7">
        <f t="shared" si="0"/>
        <v>16666.666666666668</v>
      </c>
      <c r="E8" s="7">
        <f t="shared" si="0"/>
        <v>16666.666666666668</v>
      </c>
      <c r="F8" s="7">
        <f t="shared" si="0"/>
        <v>16666.666666666668</v>
      </c>
      <c r="G8" s="7">
        <f t="shared" si="4"/>
        <v>50000</v>
      </c>
      <c r="H8" s="7">
        <v>50000.01</v>
      </c>
      <c r="I8" s="7">
        <f t="shared" si="5"/>
        <v>-1.0000000002037268E-2</v>
      </c>
      <c r="J8" s="37"/>
      <c r="K8" s="7">
        <f t="shared" si="0"/>
        <v>16666.666666666668</v>
      </c>
      <c r="L8" s="7">
        <f t="shared" si="0"/>
        <v>16666.666666666668</v>
      </c>
      <c r="M8" s="7">
        <f t="shared" si="0"/>
        <v>16666.666666666668</v>
      </c>
      <c r="N8" s="7">
        <f t="shared" si="6"/>
        <v>50000</v>
      </c>
      <c r="O8" s="7">
        <v>50000.01</v>
      </c>
      <c r="P8" s="7">
        <f t="shared" si="7"/>
        <v>-1.0000000002037268E-2</v>
      </c>
      <c r="Q8" s="7"/>
      <c r="R8" s="7">
        <f t="shared" si="0"/>
        <v>16666.666666666668</v>
      </c>
      <c r="S8" s="7">
        <f t="shared" si="0"/>
        <v>16666.666666666668</v>
      </c>
      <c r="T8" s="7">
        <f t="shared" si="0"/>
        <v>16666.666666666668</v>
      </c>
      <c r="U8" s="7">
        <f t="shared" si="8"/>
        <v>50000</v>
      </c>
      <c r="V8" s="7">
        <v>50000.01</v>
      </c>
      <c r="W8" s="7">
        <f t="shared" si="9"/>
        <v>-1.0000000002037268E-2</v>
      </c>
      <c r="X8" s="7"/>
      <c r="Y8" s="7">
        <f t="shared" si="0"/>
        <v>16666.666666666668</v>
      </c>
      <c r="Z8" s="7">
        <f t="shared" si="0"/>
        <v>16666.666666666668</v>
      </c>
      <c r="AA8" s="7">
        <f t="shared" si="0"/>
        <v>16666.666666666668</v>
      </c>
      <c r="AB8" s="7">
        <f t="shared" si="10"/>
        <v>50000</v>
      </c>
      <c r="AC8" s="7">
        <v>56000.01</v>
      </c>
      <c r="AD8" s="7">
        <f t="shared" si="11"/>
        <v>-6000.010000000002</v>
      </c>
      <c r="AE8" s="57" t="s">
        <v>124</v>
      </c>
      <c r="AF8" s="69">
        <f t="shared" si="1"/>
        <v>200000</v>
      </c>
      <c r="AG8" s="14">
        <f t="shared" si="2"/>
        <v>6000</v>
      </c>
      <c r="AH8" s="55">
        <v>6000</v>
      </c>
      <c r="AI8" s="69">
        <f t="shared" si="3"/>
        <v>206000</v>
      </c>
    </row>
    <row r="9" spans="1:35" s="1" customFormat="1">
      <c r="A9" s="3" t="s">
        <v>36</v>
      </c>
      <c r="B9" s="22">
        <v>500000</v>
      </c>
      <c r="C9" s="22">
        <v>500000</v>
      </c>
      <c r="D9" s="7">
        <f t="shared" si="0"/>
        <v>41666.666666666664</v>
      </c>
      <c r="E9" s="7">
        <f t="shared" si="0"/>
        <v>41666.666666666664</v>
      </c>
      <c r="F9" s="7">
        <f t="shared" si="0"/>
        <v>41666.666666666664</v>
      </c>
      <c r="G9" s="7">
        <f t="shared" si="4"/>
        <v>125000</v>
      </c>
      <c r="H9" s="7">
        <v>127000.01</v>
      </c>
      <c r="I9" s="7">
        <f t="shared" si="5"/>
        <v>-2000.0099999999948</v>
      </c>
      <c r="J9" s="38">
        <v>2</v>
      </c>
      <c r="K9" s="7">
        <f t="shared" si="0"/>
        <v>41666.666666666664</v>
      </c>
      <c r="L9" s="7">
        <f t="shared" si="0"/>
        <v>41666.666666666664</v>
      </c>
      <c r="M9" s="7">
        <f t="shared" si="0"/>
        <v>41666.666666666664</v>
      </c>
      <c r="N9" s="7">
        <f t="shared" si="6"/>
        <v>125000</v>
      </c>
      <c r="O9" s="7">
        <v>125000</v>
      </c>
      <c r="P9" s="7">
        <f>N9-O9</f>
        <v>0</v>
      </c>
      <c r="Q9" s="7"/>
      <c r="R9" s="7">
        <f t="shared" si="0"/>
        <v>41666.666666666664</v>
      </c>
      <c r="S9" s="7">
        <f t="shared" si="0"/>
        <v>41666.666666666664</v>
      </c>
      <c r="T9" s="7">
        <f t="shared" si="0"/>
        <v>41666.666666666664</v>
      </c>
      <c r="U9" s="7">
        <f t="shared" si="8"/>
        <v>125000</v>
      </c>
      <c r="V9" s="7">
        <v>125000.01</v>
      </c>
      <c r="W9" s="7">
        <f t="shared" si="9"/>
        <v>-9.9999999947613105E-3</v>
      </c>
      <c r="X9" s="7"/>
      <c r="Y9" s="7">
        <f t="shared" si="0"/>
        <v>41666.666666666664</v>
      </c>
      <c r="Z9" s="7">
        <f t="shared" si="0"/>
        <v>41666.666666666664</v>
      </c>
      <c r="AA9" s="7">
        <f t="shared" si="0"/>
        <v>41666.666666666664</v>
      </c>
      <c r="AB9" s="7">
        <f t="shared" si="10"/>
        <v>125000</v>
      </c>
      <c r="AC9" s="7">
        <v>125000.01</v>
      </c>
      <c r="AD9" s="7">
        <f t="shared" si="11"/>
        <v>-9.9999999947613105E-3</v>
      </c>
      <c r="AE9" s="7"/>
      <c r="AF9" s="69">
        <f t="shared" si="1"/>
        <v>500000</v>
      </c>
      <c r="AG9" s="14">
        <v>0</v>
      </c>
      <c r="AH9" s="55"/>
      <c r="AI9" s="69">
        <f t="shared" si="3"/>
        <v>500000</v>
      </c>
    </row>
    <row r="10" spans="1:35" s="1" customFormat="1">
      <c r="A10" s="3" t="s">
        <v>57</v>
      </c>
      <c r="B10" s="22"/>
      <c r="C10" s="22">
        <f>IGNORE!D18</f>
        <v>0</v>
      </c>
      <c r="D10" s="7"/>
      <c r="E10" s="7"/>
      <c r="F10" s="7"/>
      <c r="G10" s="7"/>
      <c r="H10" s="7"/>
      <c r="I10" s="7"/>
      <c r="J10" s="37"/>
      <c r="K10" s="7"/>
      <c r="L10" s="26">
        <f>230332+18240+53200</f>
        <v>301772</v>
      </c>
      <c r="M10" s="7"/>
      <c r="N10" s="7">
        <f>SUM(K10:M10)</f>
        <v>301772</v>
      </c>
      <c r="O10" s="7">
        <f>18240+230332+53156.73</f>
        <v>301728.73</v>
      </c>
      <c r="P10" s="7">
        <f>N10-O10</f>
        <v>43.270000000018626</v>
      </c>
      <c r="Q10" s="38">
        <v>10</v>
      </c>
      <c r="R10" s="7"/>
      <c r="S10" s="7"/>
      <c r="T10" s="7"/>
      <c r="U10" s="7"/>
      <c r="V10" s="7"/>
      <c r="W10" s="7">
        <f t="shared" si="9"/>
        <v>0</v>
      </c>
      <c r="X10" s="7"/>
      <c r="Y10" s="7"/>
      <c r="Z10" s="7"/>
      <c r="AA10" s="7"/>
      <c r="AB10" s="7"/>
      <c r="AC10" s="7"/>
      <c r="AD10" s="7"/>
      <c r="AE10" s="7"/>
      <c r="AF10" s="69">
        <f t="shared" si="1"/>
        <v>301772</v>
      </c>
      <c r="AG10" s="14">
        <v>0</v>
      </c>
      <c r="AH10" s="55"/>
      <c r="AI10" s="69">
        <f t="shared" si="3"/>
        <v>301772</v>
      </c>
    </row>
    <row r="11" spans="1:35" s="1" customFormat="1">
      <c r="A11" s="3" t="s">
        <v>105</v>
      </c>
      <c r="B11" s="22">
        <v>23875</v>
      </c>
      <c r="C11" s="22">
        <v>24225</v>
      </c>
      <c r="D11" s="7">
        <f t="shared" ref="D11:AA27" si="12">+$C11/12</f>
        <v>2018.75</v>
      </c>
      <c r="E11" s="7">
        <f t="shared" si="12"/>
        <v>2018.75</v>
      </c>
      <c r="F11" s="7">
        <f t="shared" si="12"/>
        <v>2018.75</v>
      </c>
      <c r="G11" s="7">
        <f t="shared" ref="G11:G27" si="13">SUM(D11:F11)</f>
        <v>6056.25</v>
      </c>
      <c r="H11" s="7">
        <v>6224.26</v>
      </c>
      <c r="I11" s="7">
        <f t="shared" ref="I11:I27" si="14">SUM(G11-H11)</f>
        <v>-168.01000000000022</v>
      </c>
      <c r="J11" s="38">
        <v>3</v>
      </c>
      <c r="K11" s="7">
        <f t="shared" si="12"/>
        <v>2018.75</v>
      </c>
      <c r="L11" s="7">
        <f t="shared" si="12"/>
        <v>2018.75</v>
      </c>
      <c r="M11" s="7">
        <f t="shared" si="12"/>
        <v>2018.75</v>
      </c>
      <c r="N11" s="7">
        <f t="shared" ref="N11:N27" si="15">SUM(K11:M11)</f>
        <v>6056.25</v>
      </c>
      <c r="O11" s="7">
        <v>5892.38</v>
      </c>
      <c r="P11" s="7">
        <f t="shared" si="7"/>
        <v>163.86999999999989</v>
      </c>
      <c r="Q11" s="38">
        <v>11</v>
      </c>
      <c r="R11" s="7">
        <f t="shared" si="12"/>
        <v>2018.75</v>
      </c>
      <c r="S11" s="7">
        <f t="shared" si="12"/>
        <v>2018.75</v>
      </c>
      <c r="T11" s="7">
        <f t="shared" si="12"/>
        <v>2018.75</v>
      </c>
      <c r="U11" s="7">
        <f t="shared" ref="U11:U27" si="16">SUM(R11:T11)</f>
        <v>6056.25</v>
      </c>
      <c r="V11" s="7">
        <v>8500.85</v>
      </c>
      <c r="W11" s="7">
        <f t="shared" si="9"/>
        <v>-2444.6000000000004</v>
      </c>
      <c r="X11" s="38">
        <v>17</v>
      </c>
      <c r="Y11" s="7">
        <f t="shared" si="12"/>
        <v>2018.75</v>
      </c>
      <c r="Z11" s="7">
        <f t="shared" si="12"/>
        <v>2018.75</v>
      </c>
      <c r="AA11" s="7">
        <f t="shared" si="12"/>
        <v>2018.75</v>
      </c>
      <c r="AB11" s="7">
        <f t="shared" ref="AB11:AB27" si="17">SUM(Y11:AA11)</f>
        <v>6056.25</v>
      </c>
      <c r="AC11" s="7">
        <v>10227.65</v>
      </c>
      <c r="AD11" s="7">
        <f t="shared" ref="AD11:AD27" si="18">AB11-AC11</f>
        <v>-4171.3999999999996</v>
      </c>
      <c r="AE11" s="38" t="s">
        <v>132</v>
      </c>
      <c r="AF11" s="69">
        <f t="shared" si="1"/>
        <v>24225</v>
      </c>
      <c r="AG11" s="14">
        <f t="shared" ref="AG11:AG27" si="19">AF11*$AG$2</f>
        <v>726.75</v>
      </c>
      <c r="AH11" s="55">
        <v>900</v>
      </c>
      <c r="AI11" s="69">
        <f t="shared" si="3"/>
        <v>25125</v>
      </c>
    </row>
    <row r="12" spans="1:35" s="1" customFormat="1">
      <c r="A12" s="3" t="s">
        <v>31</v>
      </c>
      <c r="B12" s="22">
        <v>122800</v>
      </c>
      <c r="C12" s="22">
        <v>125000</v>
      </c>
      <c r="D12" s="7">
        <f t="shared" si="12"/>
        <v>10416.666666666666</v>
      </c>
      <c r="E12" s="7">
        <f t="shared" si="12"/>
        <v>10416.666666666666</v>
      </c>
      <c r="F12" s="7">
        <f t="shared" si="12"/>
        <v>10416.666666666666</v>
      </c>
      <c r="G12" s="7">
        <f t="shared" si="13"/>
        <v>31250</v>
      </c>
      <c r="H12" s="7">
        <v>31250</v>
      </c>
      <c r="I12" s="7">
        <f t="shared" si="14"/>
        <v>0</v>
      </c>
      <c r="J12" s="37"/>
      <c r="K12" s="7">
        <f t="shared" si="12"/>
        <v>10416.666666666666</v>
      </c>
      <c r="L12" s="7">
        <f t="shared" si="12"/>
        <v>10416.666666666666</v>
      </c>
      <c r="M12" s="7">
        <f t="shared" si="12"/>
        <v>10416.666666666666</v>
      </c>
      <c r="N12" s="7">
        <f t="shared" si="15"/>
        <v>31250</v>
      </c>
      <c r="O12" s="7">
        <v>31250.01</v>
      </c>
      <c r="P12" s="7">
        <f t="shared" si="7"/>
        <v>-9.9999999983992893E-3</v>
      </c>
      <c r="Q12" s="7"/>
      <c r="R12" s="7">
        <f t="shared" si="12"/>
        <v>10416.666666666666</v>
      </c>
      <c r="S12" s="7">
        <f t="shared" si="12"/>
        <v>10416.666666666666</v>
      </c>
      <c r="T12" s="7">
        <f t="shared" si="12"/>
        <v>10416.666666666666</v>
      </c>
      <c r="U12" s="7">
        <f t="shared" si="16"/>
        <v>31250</v>
      </c>
      <c r="V12" s="7">
        <v>31250.01</v>
      </c>
      <c r="W12" s="7">
        <f t="shared" si="9"/>
        <v>-9.9999999983992893E-3</v>
      </c>
      <c r="X12" s="7"/>
      <c r="Y12" s="7">
        <f t="shared" si="12"/>
        <v>10416.666666666666</v>
      </c>
      <c r="Z12" s="7">
        <f t="shared" si="12"/>
        <v>10416.666666666666</v>
      </c>
      <c r="AA12" s="7">
        <f t="shared" si="12"/>
        <v>10416.666666666666</v>
      </c>
      <c r="AB12" s="7">
        <f t="shared" si="17"/>
        <v>31250</v>
      </c>
      <c r="AC12" s="7">
        <v>35250.01</v>
      </c>
      <c r="AD12" s="7">
        <f t="shared" si="18"/>
        <v>-4000.010000000002</v>
      </c>
      <c r="AE12" s="57" t="s">
        <v>124</v>
      </c>
      <c r="AF12" s="69">
        <f t="shared" si="1"/>
        <v>125000</v>
      </c>
      <c r="AG12" s="14">
        <f t="shared" si="19"/>
        <v>3750</v>
      </c>
      <c r="AH12" s="55">
        <v>4000</v>
      </c>
      <c r="AI12" s="69">
        <f t="shared" si="3"/>
        <v>129000</v>
      </c>
    </row>
    <row r="13" spans="1:35" s="1" customFormat="1">
      <c r="A13" s="3" t="s">
        <v>48</v>
      </c>
      <c r="B13" s="22">
        <v>99500</v>
      </c>
      <c r="C13" s="22">
        <v>108000</v>
      </c>
      <c r="D13" s="7">
        <f t="shared" si="12"/>
        <v>9000</v>
      </c>
      <c r="E13" s="7">
        <f t="shared" si="12"/>
        <v>9000</v>
      </c>
      <c r="F13" s="7">
        <f t="shared" si="12"/>
        <v>9000</v>
      </c>
      <c r="G13" s="7">
        <f t="shared" si="13"/>
        <v>27000</v>
      </c>
      <c r="H13" s="7">
        <v>27000</v>
      </c>
      <c r="I13" s="7">
        <f t="shared" si="14"/>
        <v>0</v>
      </c>
      <c r="J13" s="37"/>
      <c r="K13" s="7">
        <f t="shared" si="12"/>
        <v>9000</v>
      </c>
      <c r="L13" s="7">
        <f t="shared" si="12"/>
        <v>9000</v>
      </c>
      <c r="M13" s="7">
        <f t="shared" si="12"/>
        <v>9000</v>
      </c>
      <c r="N13" s="7">
        <f t="shared" si="15"/>
        <v>27000</v>
      </c>
      <c r="O13" s="7">
        <v>27000</v>
      </c>
      <c r="P13" s="7">
        <f t="shared" si="7"/>
        <v>0</v>
      </c>
      <c r="Q13" s="7"/>
      <c r="R13" s="7">
        <f t="shared" si="12"/>
        <v>9000</v>
      </c>
      <c r="S13" s="7">
        <f t="shared" si="12"/>
        <v>9000</v>
      </c>
      <c r="T13" s="7">
        <f t="shared" si="12"/>
        <v>9000</v>
      </c>
      <c r="U13" s="7">
        <f t="shared" si="16"/>
        <v>27000</v>
      </c>
      <c r="V13" s="7">
        <v>27000</v>
      </c>
      <c r="W13" s="7">
        <f t="shared" si="9"/>
        <v>0</v>
      </c>
      <c r="X13" s="7"/>
      <c r="Y13" s="7">
        <f t="shared" si="12"/>
        <v>9000</v>
      </c>
      <c r="Z13" s="7">
        <f t="shared" si="12"/>
        <v>9000</v>
      </c>
      <c r="AA13" s="7">
        <f t="shared" si="12"/>
        <v>9000</v>
      </c>
      <c r="AB13" s="7">
        <f t="shared" si="17"/>
        <v>27000</v>
      </c>
      <c r="AC13" s="7">
        <v>30700</v>
      </c>
      <c r="AD13" s="7">
        <f t="shared" si="18"/>
        <v>-3700</v>
      </c>
      <c r="AE13" s="57" t="s">
        <v>124</v>
      </c>
      <c r="AF13" s="69">
        <f t="shared" si="1"/>
        <v>108000</v>
      </c>
      <c r="AG13" s="14">
        <f t="shared" si="19"/>
        <v>3240</v>
      </c>
      <c r="AH13" s="55">
        <v>3700</v>
      </c>
      <c r="AI13" s="69">
        <f t="shared" si="3"/>
        <v>111700</v>
      </c>
    </row>
    <row r="14" spans="1:35" s="1" customFormat="1">
      <c r="A14" s="3" t="s">
        <v>82</v>
      </c>
      <c r="B14" s="22">
        <v>53800</v>
      </c>
      <c r="C14" s="22">
        <v>55000</v>
      </c>
      <c r="D14" s="7">
        <f>+$C14/12</f>
        <v>4583.333333333333</v>
      </c>
      <c r="E14" s="7">
        <f>+$C14/12</f>
        <v>4583.333333333333</v>
      </c>
      <c r="F14" s="7">
        <f>+$C14/12</f>
        <v>4583.333333333333</v>
      </c>
      <c r="G14" s="7">
        <f t="shared" si="13"/>
        <v>13750</v>
      </c>
      <c r="H14" s="7">
        <v>13878.89</v>
      </c>
      <c r="I14" s="7">
        <f t="shared" si="14"/>
        <v>-128.88999999999942</v>
      </c>
      <c r="J14" s="38">
        <v>4</v>
      </c>
      <c r="K14" s="7">
        <f>+$C14/12</f>
        <v>4583.333333333333</v>
      </c>
      <c r="L14" s="7">
        <f>+$C14/12</f>
        <v>4583.333333333333</v>
      </c>
      <c r="M14" s="7">
        <f>+$C14/12</f>
        <v>4583.333333333333</v>
      </c>
      <c r="N14" s="7">
        <f t="shared" si="15"/>
        <v>13750</v>
      </c>
      <c r="O14" s="7">
        <v>14361.44</v>
      </c>
      <c r="P14" s="7">
        <f t="shared" si="7"/>
        <v>-611.44000000000051</v>
      </c>
      <c r="Q14" s="38">
        <v>12</v>
      </c>
      <c r="R14" s="7">
        <f>+$C14/12</f>
        <v>4583.333333333333</v>
      </c>
      <c r="S14" s="7">
        <f>+$C14/12</f>
        <v>4583.333333333333</v>
      </c>
      <c r="T14" s="7">
        <f>+$C14/12</f>
        <v>4583.333333333333</v>
      </c>
      <c r="U14" s="7">
        <f t="shared" si="16"/>
        <v>13750</v>
      </c>
      <c r="V14" s="7">
        <v>13835.92</v>
      </c>
      <c r="W14" s="7">
        <f t="shared" si="9"/>
        <v>-85.920000000000073</v>
      </c>
      <c r="X14" s="38">
        <v>18</v>
      </c>
      <c r="Y14" s="7">
        <f>+$C14/12</f>
        <v>4583.333333333333</v>
      </c>
      <c r="Z14" s="7">
        <f>+$C14/12</f>
        <v>4583.333333333333</v>
      </c>
      <c r="AA14" s="7">
        <f>+$C14/12</f>
        <v>4583.333333333333</v>
      </c>
      <c r="AB14" s="7">
        <f t="shared" si="17"/>
        <v>13750</v>
      </c>
      <c r="AC14" s="7">
        <v>16335</v>
      </c>
      <c r="AD14" s="7">
        <f t="shared" si="18"/>
        <v>-2585</v>
      </c>
      <c r="AE14" s="57" t="s">
        <v>127</v>
      </c>
      <c r="AF14" s="69">
        <f t="shared" si="1"/>
        <v>55000</v>
      </c>
      <c r="AG14" s="14">
        <f>AF14*$AG$2</f>
        <v>1650</v>
      </c>
      <c r="AH14" s="55">
        <v>2000</v>
      </c>
      <c r="AI14" s="69">
        <f t="shared" si="3"/>
        <v>57000</v>
      </c>
    </row>
    <row r="15" spans="1:35" s="1" customFormat="1">
      <c r="A15" s="3" t="s">
        <v>46</v>
      </c>
      <c r="B15" s="22">
        <v>34600</v>
      </c>
      <c r="C15" s="22">
        <v>35100</v>
      </c>
      <c r="D15" s="7">
        <f t="shared" si="12"/>
        <v>2925</v>
      </c>
      <c r="E15" s="7">
        <f t="shared" si="12"/>
        <v>2925</v>
      </c>
      <c r="F15" s="7">
        <f t="shared" si="12"/>
        <v>2925</v>
      </c>
      <c r="G15" s="7">
        <f t="shared" si="13"/>
        <v>8775</v>
      </c>
      <c r="H15" s="7">
        <v>8775</v>
      </c>
      <c r="I15" s="7">
        <f t="shared" si="14"/>
        <v>0</v>
      </c>
      <c r="J15" s="37"/>
      <c r="K15" s="7">
        <f t="shared" si="12"/>
        <v>2925</v>
      </c>
      <c r="L15" s="7">
        <f t="shared" si="12"/>
        <v>2925</v>
      </c>
      <c r="M15" s="7">
        <f t="shared" si="12"/>
        <v>2925</v>
      </c>
      <c r="N15" s="7">
        <f t="shared" si="15"/>
        <v>8775</v>
      </c>
      <c r="O15" s="7">
        <v>8775</v>
      </c>
      <c r="P15" s="7">
        <f t="shared" si="7"/>
        <v>0</v>
      </c>
      <c r="Q15" s="7"/>
      <c r="R15" s="7">
        <f t="shared" si="12"/>
        <v>2925</v>
      </c>
      <c r="S15" s="7">
        <f t="shared" si="12"/>
        <v>2925</v>
      </c>
      <c r="T15" s="7">
        <f t="shared" si="12"/>
        <v>2925</v>
      </c>
      <c r="U15" s="7">
        <f t="shared" si="16"/>
        <v>8775</v>
      </c>
      <c r="V15" s="7">
        <v>8775</v>
      </c>
      <c r="W15" s="7">
        <f t="shared" si="9"/>
        <v>0</v>
      </c>
      <c r="X15" s="7"/>
      <c r="Y15" s="7">
        <f t="shared" si="12"/>
        <v>2925</v>
      </c>
      <c r="Z15" s="7">
        <f t="shared" si="12"/>
        <v>2925</v>
      </c>
      <c r="AA15" s="7">
        <f t="shared" si="12"/>
        <v>2925</v>
      </c>
      <c r="AB15" s="7">
        <f t="shared" si="17"/>
        <v>8775</v>
      </c>
      <c r="AC15" s="7">
        <v>9775</v>
      </c>
      <c r="AD15" s="7">
        <f t="shared" si="18"/>
        <v>-1000</v>
      </c>
      <c r="AE15" s="57" t="s">
        <v>124</v>
      </c>
      <c r="AF15" s="69">
        <f t="shared" si="1"/>
        <v>35100</v>
      </c>
      <c r="AG15" s="14">
        <f t="shared" si="19"/>
        <v>1053</v>
      </c>
      <c r="AH15" s="55">
        <v>1000</v>
      </c>
      <c r="AI15" s="69">
        <f t="shared" si="3"/>
        <v>36100</v>
      </c>
    </row>
    <row r="16" spans="1:35" s="1" customFormat="1">
      <c r="A16" s="3" t="s">
        <v>42</v>
      </c>
      <c r="B16" s="22">
        <v>126900</v>
      </c>
      <c r="C16" s="22">
        <v>130000</v>
      </c>
      <c r="D16" s="7">
        <f t="shared" si="12"/>
        <v>10833.333333333334</v>
      </c>
      <c r="E16" s="7">
        <f t="shared" si="12"/>
        <v>10833.333333333334</v>
      </c>
      <c r="F16" s="7">
        <f t="shared" si="12"/>
        <v>10833.333333333334</v>
      </c>
      <c r="G16" s="7">
        <f t="shared" si="13"/>
        <v>32500</v>
      </c>
      <c r="H16" s="7">
        <v>32499.99</v>
      </c>
      <c r="I16" s="7">
        <f t="shared" si="14"/>
        <v>9.9999999983992893E-3</v>
      </c>
      <c r="J16" s="37"/>
      <c r="K16" s="7">
        <f t="shared" si="12"/>
        <v>10833.333333333334</v>
      </c>
      <c r="L16" s="7">
        <f t="shared" si="12"/>
        <v>10833.333333333334</v>
      </c>
      <c r="M16" s="7">
        <f t="shared" si="12"/>
        <v>10833.333333333334</v>
      </c>
      <c r="N16" s="7">
        <f t="shared" si="15"/>
        <v>32500</v>
      </c>
      <c r="O16" s="7">
        <v>32499.99</v>
      </c>
      <c r="P16" s="7">
        <f t="shared" si="7"/>
        <v>9.9999999983992893E-3</v>
      </c>
      <c r="Q16" s="7"/>
      <c r="R16" s="7">
        <f t="shared" si="12"/>
        <v>10833.333333333334</v>
      </c>
      <c r="S16" s="7">
        <f t="shared" si="12"/>
        <v>10833.333333333334</v>
      </c>
      <c r="T16" s="7">
        <f t="shared" si="12"/>
        <v>10833.333333333334</v>
      </c>
      <c r="U16" s="7">
        <f t="shared" si="16"/>
        <v>32500</v>
      </c>
      <c r="V16" s="7">
        <v>32499.99</v>
      </c>
      <c r="W16" s="7">
        <f t="shared" si="9"/>
        <v>9.9999999983992893E-3</v>
      </c>
      <c r="X16" s="7"/>
      <c r="Y16" s="7">
        <f t="shared" si="12"/>
        <v>10833.333333333334</v>
      </c>
      <c r="Z16" s="7">
        <f t="shared" si="12"/>
        <v>10833.333333333334</v>
      </c>
      <c r="AA16" s="7">
        <f t="shared" si="12"/>
        <v>10833.333333333334</v>
      </c>
      <c r="AB16" s="7">
        <f t="shared" si="17"/>
        <v>32500</v>
      </c>
      <c r="AC16" s="7">
        <v>36499.99</v>
      </c>
      <c r="AD16" s="7">
        <f t="shared" si="18"/>
        <v>-3999.989999999998</v>
      </c>
      <c r="AE16" s="57" t="s">
        <v>124</v>
      </c>
      <c r="AF16" s="69">
        <f t="shared" si="1"/>
        <v>130000</v>
      </c>
      <c r="AG16" s="14">
        <f t="shared" si="19"/>
        <v>3900</v>
      </c>
      <c r="AH16" s="55">
        <v>4000</v>
      </c>
      <c r="AI16" s="69">
        <f t="shared" si="3"/>
        <v>134000</v>
      </c>
    </row>
    <row r="17" spans="1:35" s="1" customFormat="1">
      <c r="A17" s="3" t="s">
        <v>32</v>
      </c>
      <c r="B17" s="22">
        <v>67000</v>
      </c>
      <c r="C17" s="22">
        <v>68000</v>
      </c>
      <c r="D17" s="7">
        <f t="shared" si="12"/>
        <v>5666.666666666667</v>
      </c>
      <c r="E17" s="7">
        <f t="shared" si="12"/>
        <v>5666.666666666667</v>
      </c>
      <c r="F17" s="7">
        <f t="shared" si="12"/>
        <v>5666.666666666667</v>
      </c>
      <c r="G17" s="7">
        <f t="shared" si="13"/>
        <v>17000</v>
      </c>
      <c r="H17" s="7">
        <v>16500.009999999998</v>
      </c>
      <c r="I17" s="7">
        <f t="shared" si="14"/>
        <v>499.9900000000016</v>
      </c>
      <c r="J17" s="38">
        <v>5</v>
      </c>
      <c r="K17" s="7">
        <f t="shared" si="12"/>
        <v>5666.666666666667</v>
      </c>
      <c r="L17" s="7">
        <f t="shared" si="12"/>
        <v>5666.666666666667</v>
      </c>
      <c r="M17" s="7">
        <f t="shared" si="12"/>
        <v>5666.666666666667</v>
      </c>
      <c r="N17" s="7">
        <f t="shared" si="15"/>
        <v>17000</v>
      </c>
      <c r="O17" s="7">
        <v>17000.009999999998</v>
      </c>
      <c r="P17" s="7">
        <f t="shared" si="7"/>
        <v>-9.9999999983992893E-3</v>
      </c>
      <c r="Q17" s="7"/>
      <c r="R17" s="7">
        <f t="shared" si="12"/>
        <v>5666.666666666667</v>
      </c>
      <c r="S17" s="7">
        <f t="shared" si="12"/>
        <v>5666.666666666667</v>
      </c>
      <c r="T17" s="7">
        <f t="shared" si="12"/>
        <v>5666.666666666667</v>
      </c>
      <c r="U17" s="7">
        <f t="shared" si="16"/>
        <v>17000</v>
      </c>
      <c r="V17" s="7">
        <v>17000.009999999998</v>
      </c>
      <c r="W17" s="7">
        <f t="shared" si="9"/>
        <v>-9.9999999983992893E-3</v>
      </c>
      <c r="X17" s="7"/>
      <c r="Y17" s="7">
        <f t="shared" si="12"/>
        <v>5666.666666666667</v>
      </c>
      <c r="Z17" s="7">
        <f t="shared" si="12"/>
        <v>5666.666666666667</v>
      </c>
      <c r="AA17" s="7">
        <f t="shared" si="12"/>
        <v>5666.666666666667</v>
      </c>
      <c r="AB17" s="7">
        <f t="shared" si="17"/>
        <v>17000</v>
      </c>
      <c r="AC17" s="7">
        <v>19300.009999999998</v>
      </c>
      <c r="AD17" s="7">
        <f t="shared" si="18"/>
        <v>-2300.0099999999984</v>
      </c>
      <c r="AE17" s="57" t="s">
        <v>124</v>
      </c>
      <c r="AF17" s="69">
        <f t="shared" si="1"/>
        <v>68000</v>
      </c>
      <c r="AG17" s="14">
        <f t="shared" si="19"/>
        <v>2040</v>
      </c>
      <c r="AH17" s="55">
        <v>2300</v>
      </c>
      <c r="AI17" s="69">
        <f t="shared" si="3"/>
        <v>70300</v>
      </c>
    </row>
    <row r="18" spans="1:35" s="1" customFormat="1">
      <c r="A18" s="3" t="s">
        <v>49</v>
      </c>
      <c r="B18" s="22">
        <v>52800</v>
      </c>
      <c r="C18" s="22">
        <f>IGNORE!D25</f>
        <v>0</v>
      </c>
      <c r="D18" s="7">
        <f t="shared" si="12"/>
        <v>0</v>
      </c>
      <c r="E18" s="7">
        <f t="shared" si="12"/>
        <v>0</v>
      </c>
      <c r="F18" s="7">
        <f t="shared" si="12"/>
        <v>0</v>
      </c>
      <c r="G18" s="7">
        <f t="shared" si="13"/>
        <v>0</v>
      </c>
      <c r="H18" s="7">
        <v>0</v>
      </c>
      <c r="I18" s="7">
        <f t="shared" si="14"/>
        <v>0</v>
      </c>
      <c r="J18" s="37"/>
      <c r="K18" s="7">
        <f t="shared" si="12"/>
        <v>0</v>
      </c>
      <c r="L18" s="7">
        <f t="shared" si="12"/>
        <v>0</v>
      </c>
      <c r="M18" s="7">
        <f t="shared" si="12"/>
        <v>0</v>
      </c>
      <c r="N18" s="7">
        <f t="shared" si="15"/>
        <v>0</v>
      </c>
      <c r="O18" s="7">
        <v>0</v>
      </c>
      <c r="P18" s="7">
        <f t="shared" si="7"/>
        <v>0</v>
      </c>
      <c r="Q18" s="7"/>
      <c r="R18" s="7">
        <f t="shared" si="12"/>
        <v>0</v>
      </c>
      <c r="S18" s="7">
        <f t="shared" si="12"/>
        <v>0</v>
      </c>
      <c r="T18" s="7">
        <f t="shared" si="12"/>
        <v>0</v>
      </c>
      <c r="U18" s="7">
        <f t="shared" si="16"/>
        <v>0</v>
      </c>
      <c r="V18" s="7">
        <v>0</v>
      </c>
      <c r="W18" s="7">
        <f t="shared" si="9"/>
        <v>0</v>
      </c>
      <c r="X18" s="7"/>
      <c r="Y18" s="7">
        <f t="shared" si="12"/>
        <v>0</v>
      </c>
      <c r="Z18" s="7">
        <f t="shared" si="12"/>
        <v>0</v>
      </c>
      <c r="AA18" s="7">
        <f t="shared" si="12"/>
        <v>0</v>
      </c>
      <c r="AB18" s="7">
        <f t="shared" si="17"/>
        <v>0</v>
      </c>
      <c r="AC18" s="7">
        <v>0</v>
      </c>
      <c r="AD18" s="7">
        <f t="shared" si="18"/>
        <v>0</v>
      </c>
      <c r="AE18" s="7"/>
      <c r="AF18" s="69">
        <f t="shared" si="1"/>
        <v>0</v>
      </c>
      <c r="AG18" s="14">
        <f t="shared" si="19"/>
        <v>0</v>
      </c>
      <c r="AH18" s="55"/>
      <c r="AI18" s="69">
        <f t="shared" si="3"/>
        <v>0</v>
      </c>
    </row>
    <row r="19" spans="1:35" s="1" customFormat="1">
      <c r="A19" s="3" t="s">
        <v>71</v>
      </c>
      <c r="B19" s="22">
        <v>253700</v>
      </c>
      <c r="C19" s="22">
        <v>258000</v>
      </c>
      <c r="D19" s="7">
        <f t="shared" si="12"/>
        <v>21500</v>
      </c>
      <c r="E19" s="7">
        <f t="shared" si="12"/>
        <v>21500</v>
      </c>
      <c r="F19" s="7">
        <f t="shared" si="12"/>
        <v>21500</v>
      </c>
      <c r="G19" s="7">
        <f t="shared" si="13"/>
        <v>64500</v>
      </c>
      <c r="H19" s="7">
        <v>64500</v>
      </c>
      <c r="I19" s="7">
        <f t="shared" si="14"/>
        <v>0</v>
      </c>
      <c r="J19" s="37"/>
      <c r="K19" s="7">
        <f t="shared" si="12"/>
        <v>21500</v>
      </c>
      <c r="L19" s="7">
        <f t="shared" si="12"/>
        <v>21500</v>
      </c>
      <c r="M19" s="7">
        <f t="shared" si="12"/>
        <v>21500</v>
      </c>
      <c r="N19" s="7">
        <f t="shared" si="15"/>
        <v>64500</v>
      </c>
      <c r="O19" s="7">
        <v>64500</v>
      </c>
      <c r="P19" s="7">
        <f t="shared" si="7"/>
        <v>0</v>
      </c>
      <c r="Q19" s="7"/>
      <c r="R19" s="7">
        <f t="shared" si="12"/>
        <v>21500</v>
      </c>
      <c r="S19" s="7">
        <f t="shared" si="12"/>
        <v>21500</v>
      </c>
      <c r="T19" s="7">
        <f t="shared" si="12"/>
        <v>21500</v>
      </c>
      <c r="U19" s="7">
        <f t="shared" si="16"/>
        <v>64500</v>
      </c>
      <c r="V19" s="7">
        <v>64500</v>
      </c>
      <c r="W19" s="7">
        <f t="shared" si="9"/>
        <v>0</v>
      </c>
      <c r="X19" s="7"/>
      <c r="Y19" s="7">
        <f t="shared" si="12"/>
        <v>21500</v>
      </c>
      <c r="Z19" s="7">
        <f t="shared" si="12"/>
        <v>21500</v>
      </c>
      <c r="AA19" s="7">
        <f t="shared" si="12"/>
        <v>21500</v>
      </c>
      <c r="AB19" s="7">
        <f t="shared" si="17"/>
        <v>64500</v>
      </c>
      <c r="AC19" s="7">
        <v>72300</v>
      </c>
      <c r="AD19" s="7">
        <f t="shared" si="18"/>
        <v>-7800</v>
      </c>
      <c r="AE19" s="57" t="s">
        <v>124</v>
      </c>
      <c r="AF19" s="69">
        <f t="shared" si="1"/>
        <v>258000</v>
      </c>
      <c r="AG19" s="14">
        <f t="shared" si="19"/>
        <v>7740</v>
      </c>
      <c r="AH19" s="55">
        <v>7800</v>
      </c>
      <c r="AI19" s="69">
        <f t="shared" si="3"/>
        <v>265800</v>
      </c>
    </row>
    <row r="20" spans="1:35" s="1" customFormat="1">
      <c r="A20" s="3" t="s">
        <v>79</v>
      </c>
      <c r="B20" s="22">
        <v>42000</v>
      </c>
      <c r="C20" s="22">
        <v>44000</v>
      </c>
      <c r="D20" s="7">
        <f t="shared" si="12"/>
        <v>3666.6666666666665</v>
      </c>
      <c r="E20" s="7">
        <f t="shared" si="12"/>
        <v>3666.6666666666665</v>
      </c>
      <c r="F20" s="7">
        <f t="shared" si="12"/>
        <v>3666.6666666666665</v>
      </c>
      <c r="G20" s="7">
        <f t="shared" si="13"/>
        <v>11000</v>
      </c>
      <c r="H20" s="7">
        <v>11000.01</v>
      </c>
      <c r="I20" s="7">
        <f t="shared" si="14"/>
        <v>-1.0000000000218279E-2</v>
      </c>
      <c r="J20" s="37"/>
      <c r="K20" s="7">
        <f t="shared" si="12"/>
        <v>3666.6666666666665</v>
      </c>
      <c r="L20" s="7">
        <f t="shared" si="12"/>
        <v>3666.6666666666665</v>
      </c>
      <c r="M20" s="7">
        <f t="shared" si="12"/>
        <v>3666.6666666666665</v>
      </c>
      <c r="N20" s="7">
        <f t="shared" si="15"/>
        <v>11000</v>
      </c>
      <c r="O20" s="7">
        <v>11000.01</v>
      </c>
      <c r="P20" s="7">
        <f t="shared" si="7"/>
        <v>-1.0000000000218279E-2</v>
      </c>
      <c r="Q20" s="7"/>
      <c r="R20" s="7">
        <f t="shared" si="12"/>
        <v>3666.6666666666665</v>
      </c>
      <c r="S20" s="7">
        <f t="shared" si="12"/>
        <v>3666.6666666666665</v>
      </c>
      <c r="T20" s="7">
        <f t="shared" si="12"/>
        <v>3666.6666666666665</v>
      </c>
      <c r="U20" s="7">
        <f t="shared" si="16"/>
        <v>11000</v>
      </c>
      <c r="V20" s="7">
        <v>11000.01</v>
      </c>
      <c r="W20" s="7">
        <f t="shared" si="9"/>
        <v>-1.0000000000218279E-2</v>
      </c>
      <c r="X20" s="7"/>
      <c r="Y20" s="7">
        <f t="shared" si="12"/>
        <v>3666.6666666666665</v>
      </c>
      <c r="Z20" s="7">
        <f t="shared" si="12"/>
        <v>3666.6666666666665</v>
      </c>
      <c r="AA20" s="7">
        <f t="shared" si="12"/>
        <v>3666.6666666666665</v>
      </c>
      <c r="AB20" s="7">
        <f t="shared" si="17"/>
        <v>11000</v>
      </c>
      <c r="AC20" s="7">
        <v>12712.52</v>
      </c>
      <c r="AD20" s="7">
        <f t="shared" si="18"/>
        <v>-1712.5200000000004</v>
      </c>
      <c r="AE20" s="57" t="s">
        <v>129</v>
      </c>
      <c r="AF20" s="69">
        <f t="shared" si="1"/>
        <v>44000</v>
      </c>
      <c r="AG20" s="14">
        <f t="shared" si="19"/>
        <v>1320</v>
      </c>
      <c r="AH20" s="55">
        <v>1300</v>
      </c>
      <c r="AI20" s="69">
        <f t="shared" si="3"/>
        <v>45300</v>
      </c>
    </row>
    <row r="21" spans="1:35" s="1" customFormat="1">
      <c r="A21" s="3" t="s">
        <v>50</v>
      </c>
      <c r="B21" s="22">
        <v>51800</v>
      </c>
      <c r="C21" s="22">
        <v>54000</v>
      </c>
      <c r="D21" s="7">
        <f t="shared" ref="D21:AA22" si="20">+$C21/12</f>
        <v>4500</v>
      </c>
      <c r="E21" s="7">
        <f t="shared" si="20"/>
        <v>4500</v>
      </c>
      <c r="F21" s="7">
        <f t="shared" si="20"/>
        <v>4500</v>
      </c>
      <c r="G21" s="7">
        <f t="shared" si="13"/>
        <v>13500</v>
      </c>
      <c r="H21" s="7">
        <v>13500</v>
      </c>
      <c r="I21" s="7">
        <f t="shared" si="14"/>
        <v>0</v>
      </c>
      <c r="J21" s="37"/>
      <c r="K21" s="7">
        <f t="shared" si="20"/>
        <v>4500</v>
      </c>
      <c r="L21" s="7">
        <f t="shared" si="20"/>
        <v>4500</v>
      </c>
      <c r="M21" s="7">
        <f t="shared" si="20"/>
        <v>4500</v>
      </c>
      <c r="N21" s="7">
        <f t="shared" si="15"/>
        <v>13500</v>
      </c>
      <c r="O21" s="7">
        <v>13500</v>
      </c>
      <c r="P21" s="7">
        <f t="shared" si="7"/>
        <v>0</v>
      </c>
      <c r="Q21" s="7"/>
      <c r="R21" s="7">
        <f t="shared" si="20"/>
        <v>4500</v>
      </c>
      <c r="S21" s="7">
        <f t="shared" si="20"/>
        <v>4500</v>
      </c>
      <c r="T21" s="7">
        <f t="shared" si="20"/>
        <v>4500</v>
      </c>
      <c r="U21" s="7">
        <f t="shared" si="16"/>
        <v>13500</v>
      </c>
      <c r="V21" s="7">
        <v>13500</v>
      </c>
      <c r="W21" s="7">
        <f t="shared" si="9"/>
        <v>0</v>
      </c>
      <c r="X21" s="7"/>
      <c r="Y21" s="7">
        <f t="shared" si="20"/>
        <v>4500</v>
      </c>
      <c r="Z21" s="7">
        <f t="shared" si="20"/>
        <v>4500</v>
      </c>
      <c r="AA21" s="7">
        <f t="shared" si="20"/>
        <v>4500</v>
      </c>
      <c r="AB21" s="7">
        <f t="shared" si="17"/>
        <v>13500</v>
      </c>
      <c r="AC21" s="7">
        <v>14300</v>
      </c>
      <c r="AD21" s="7">
        <f t="shared" si="18"/>
        <v>-800</v>
      </c>
      <c r="AE21" s="57" t="s">
        <v>124</v>
      </c>
      <c r="AF21" s="69">
        <f t="shared" si="1"/>
        <v>54000</v>
      </c>
      <c r="AG21" s="14">
        <f>AF21*$AG$2</f>
        <v>1620</v>
      </c>
      <c r="AH21" s="55">
        <v>800</v>
      </c>
      <c r="AI21" s="69">
        <f t="shared" si="3"/>
        <v>54800</v>
      </c>
    </row>
    <row r="22" spans="1:35" s="1" customFormat="1">
      <c r="A22" s="3" t="s">
        <v>47</v>
      </c>
      <c r="B22" s="22">
        <v>87300</v>
      </c>
      <c r="C22" s="22">
        <v>90000</v>
      </c>
      <c r="D22" s="7">
        <f t="shared" si="20"/>
        <v>7500</v>
      </c>
      <c r="E22" s="7">
        <f t="shared" si="20"/>
        <v>7500</v>
      </c>
      <c r="F22" s="7">
        <f t="shared" si="20"/>
        <v>7500</v>
      </c>
      <c r="G22" s="7">
        <f t="shared" si="13"/>
        <v>22500</v>
      </c>
      <c r="H22" s="7">
        <v>22500</v>
      </c>
      <c r="I22" s="7">
        <f t="shared" si="14"/>
        <v>0</v>
      </c>
      <c r="J22" s="37"/>
      <c r="K22" s="7">
        <f t="shared" si="20"/>
        <v>7500</v>
      </c>
      <c r="L22" s="7">
        <f t="shared" si="20"/>
        <v>7500</v>
      </c>
      <c r="M22" s="7">
        <f t="shared" si="20"/>
        <v>7500</v>
      </c>
      <c r="N22" s="7">
        <f t="shared" si="15"/>
        <v>22500</v>
      </c>
      <c r="O22" s="7">
        <v>22504.400000000001</v>
      </c>
      <c r="P22" s="7">
        <f t="shared" si="7"/>
        <v>-4.4000000000014552</v>
      </c>
      <c r="Q22" s="38">
        <v>13</v>
      </c>
      <c r="R22" s="7">
        <f t="shared" si="20"/>
        <v>7500</v>
      </c>
      <c r="S22" s="7">
        <f t="shared" si="20"/>
        <v>7500</v>
      </c>
      <c r="T22" s="7">
        <f t="shared" si="20"/>
        <v>7500</v>
      </c>
      <c r="U22" s="7">
        <f t="shared" si="16"/>
        <v>22500</v>
      </c>
      <c r="V22" s="7">
        <v>22500</v>
      </c>
      <c r="W22" s="7">
        <f t="shared" si="9"/>
        <v>0</v>
      </c>
      <c r="X22" s="7"/>
      <c r="Y22" s="7">
        <f t="shared" si="20"/>
        <v>7500</v>
      </c>
      <c r="Z22" s="7">
        <f t="shared" si="20"/>
        <v>7500</v>
      </c>
      <c r="AA22" s="7">
        <f t="shared" si="20"/>
        <v>7500</v>
      </c>
      <c r="AB22" s="7">
        <f t="shared" si="17"/>
        <v>22500</v>
      </c>
      <c r="AC22" s="7">
        <v>25500</v>
      </c>
      <c r="AD22" s="7">
        <f t="shared" si="18"/>
        <v>-3000</v>
      </c>
      <c r="AE22" s="57" t="s">
        <v>124</v>
      </c>
      <c r="AF22" s="69">
        <f t="shared" si="1"/>
        <v>90000</v>
      </c>
      <c r="AG22" s="14">
        <f>AF22*$AG$2</f>
        <v>2700</v>
      </c>
      <c r="AH22" s="55">
        <v>3000</v>
      </c>
      <c r="AI22" s="69">
        <f t="shared" si="3"/>
        <v>93000</v>
      </c>
    </row>
    <row r="23" spans="1:35" s="1" customFormat="1">
      <c r="A23" s="3" t="s">
        <v>72</v>
      </c>
      <c r="B23" s="22">
        <v>27500</v>
      </c>
      <c r="C23" s="22">
        <v>28000</v>
      </c>
      <c r="D23" s="7">
        <f t="shared" si="12"/>
        <v>2333.3333333333335</v>
      </c>
      <c r="E23" s="7">
        <f t="shared" si="12"/>
        <v>2333.3333333333335</v>
      </c>
      <c r="F23" s="7">
        <f t="shared" si="12"/>
        <v>2333.3333333333335</v>
      </c>
      <c r="G23" s="7">
        <f t="shared" si="13"/>
        <v>7000</v>
      </c>
      <c r="H23" s="7">
        <v>7006.72</v>
      </c>
      <c r="I23" s="7">
        <f t="shared" si="14"/>
        <v>-6.7200000000002547</v>
      </c>
      <c r="J23" s="38">
        <v>6</v>
      </c>
      <c r="K23" s="7">
        <f t="shared" si="12"/>
        <v>2333.3333333333335</v>
      </c>
      <c r="L23" s="7">
        <f t="shared" si="12"/>
        <v>2333.3333333333335</v>
      </c>
      <c r="M23" s="7">
        <f t="shared" si="12"/>
        <v>2333.3333333333335</v>
      </c>
      <c r="N23" s="7">
        <f t="shared" si="15"/>
        <v>7000</v>
      </c>
      <c r="O23" s="7">
        <v>7026.91</v>
      </c>
      <c r="P23" s="7">
        <f t="shared" si="7"/>
        <v>-26.909999999999854</v>
      </c>
      <c r="Q23" s="38">
        <v>14</v>
      </c>
      <c r="R23" s="7">
        <f t="shared" si="12"/>
        <v>2333.3333333333335</v>
      </c>
      <c r="S23" s="7">
        <f t="shared" si="12"/>
        <v>2333.3333333333335</v>
      </c>
      <c r="T23" s="7">
        <f t="shared" si="12"/>
        <v>2333.3333333333335</v>
      </c>
      <c r="U23" s="7">
        <f t="shared" si="16"/>
        <v>7000</v>
      </c>
      <c r="V23" s="7">
        <v>6999.99</v>
      </c>
      <c r="W23" s="7">
        <f t="shared" si="9"/>
        <v>1.0000000000218279E-2</v>
      </c>
      <c r="X23" s="7"/>
      <c r="Y23" s="7">
        <f t="shared" si="12"/>
        <v>2333.3333333333335</v>
      </c>
      <c r="Z23" s="7">
        <f t="shared" si="12"/>
        <v>2333.3333333333335</v>
      </c>
      <c r="AA23" s="7">
        <f t="shared" si="12"/>
        <v>2333.3333333333335</v>
      </c>
      <c r="AB23" s="7">
        <f t="shared" si="17"/>
        <v>7000</v>
      </c>
      <c r="AC23" s="7">
        <v>7849.99</v>
      </c>
      <c r="AD23" s="7">
        <f t="shared" si="18"/>
        <v>-849.98999999999978</v>
      </c>
      <c r="AE23" s="57" t="s">
        <v>124</v>
      </c>
      <c r="AF23" s="69">
        <f t="shared" si="1"/>
        <v>28000</v>
      </c>
      <c r="AG23" s="14">
        <f t="shared" si="19"/>
        <v>840</v>
      </c>
      <c r="AH23" s="55">
        <v>850</v>
      </c>
      <c r="AI23" s="69">
        <f t="shared" si="3"/>
        <v>28850</v>
      </c>
    </row>
    <row r="24" spans="1:35" s="1" customFormat="1">
      <c r="A24" s="3" t="s">
        <v>38</v>
      </c>
      <c r="B24" s="22">
        <v>296400</v>
      </c>
      <c r="C24" s="22">
        <v>300000</v>
      </c>
      <c r="D24" s="7">
        <f t="shared" si="12"/>
        <v>25000</v>
      </c>
      <c r="E24" s="7">
        <f t="shared" si="12"/>
        <v>25000</v>
      </c>
      <c r="F24" s="7">
        <f t="shared" si="12"/>
        <v>25000</v>
      </c>
      <c r="G24" s="7">
        <f t="shared" si="13"/>
        <v>75000</v>
      </c>
      <c r="H24" s="7">
        <v>75000</v>
      </c>
      <c r="I24" s="7">
        <f t="shared" si="14"/>
        <v>0</v>
      </c>
      <c r="J24" s="37"/>
      <c r="K24" s="7">
        <f t="shared" si="12"/>
        <v>25000</v>
      </c>
      <c r="L24" s="7">
        <f t="shared" si="12"/>
        <v>25000</v>
      </c>
      <c r="M24" s="7">
        <f t="shared" si="12"/>
        <v>25000</v>
      </c>
      <c r="N24" s="7">
        <f t="shared" si="15"/>
        <v>75000</v>
      </c>
      <c r="O24" s="7">
        <v>75000</v>
      </c>
      <c r="P24" s="7">
        <f t="shared" si="7"/>
        <v>0</v>
      </c>
      <c r="Q24" s="7"/>
      <c r="R24" s="7">
        <f t="shared" si="12"/>
        <v>25000</v>
      </c>
      <c r="S24" s="7">
        <f t="shared" si="12"/>
        <v>25000</v>
      </c>
      <c r="T24" s="7">
        <f t="shared" si="12"/>
        <v>25000</v>
      </c>
      <c r="U24" s="7">
        <f t="shared" si="16"/>
        <v>75000</v>
      </c>
      <c r="V24" s="7">
        <v>75000</v>
      </c>
      <c r="W24" s="7">
        <f t="shared" si="9"/>
        <v>0</v>
      </c>
      <c r="X24" s="7"/>
      <c r="Y24" s="7">
        <f t="shared" si="12"/>
        <v>25000</v>
      </c>
      <c r="Z24" s="7">
        <f t="shared" si="12"/>
        <v>25000</v>
      </c>
      <c r="AA24" s="7">
        <f t="shared" si="12"/>
        <v>25000</v>
      </c>
      <c r="AB24" s="7">
        <f t="shared" si="17"/>
        <v>75000</v>
      </c>
      <c r="AC24" s="7">
        <v>92105</v>
      </c>
      <c r="AD24" s="7">
        <f t="shared" si="18"/>
        <v>-17105</v>
      </c>
      <c r="AE24" s="57" t="s">
        <v>131</v>
      </c>
      <c r="AF24" s="69">
        <f>+G24+N24+U24+AB24</f>
        <v>300000</v>
      </c>
      <c r="AG24" s="14">
        <f t="shared" si="19"/>
        <v>9000</v>
      </c>
      <c r="AH24" s="55">
        <v>7700</v>
      </c>
      <c r="AI24" s="69">
        <f>+AF24+AH24</f>
        <v>307700</v>
      </c>
    </row>
    <row r="25" spans="1:35" s="1" customFormat="1">
      <c r="A25" s="3" t="s">
        <v>37</v>
      </c>
      <c r="B25" s="22">
        <v>144100</v>
      </c>
      <c r="C25" s="22">
        <v>147000</v>
      </c>
      <c r="D25" s="7">
        <f t="shared" si="12"/>
        <v>12250</v>
      </c>
      <c r="E25" s="7">
        <f t="shared" si="12"/>
        <v>12250</v>
      </c>
      <c r="F25" s="7">
        <f t="shared" si="12"/>
        <v>12250</v>
      </c>
      <c r="G25" s="7">
        <f t="shared" si="13"/>
        <v>36750</v>
      </c>
      <c r="H25" s="7">
        <v>36750</v>
      </c>
      <c r="I25" s="7">
        <f t="shared" si="14"/>
        <v>0</v>
      </c>
      <c r="J25" s="37"/>
      <c r="K25" s="7">
        <f t="shared" si="12"/>
        <v>12250</v>
      </c>
      <c r="L25" s="7">
        <f t="shared" si="12"/>
        <v>12250</v>
      </c>
      <c r="M25" s="7">
        <f t="shared" si="12"/>
        <v>12250</v>
      </c>
      <c r="N25" s="7">
        <f t="shared" si="15"/>
        <v>36750</v>
      </c>
      <c r="O25" s="7">
        <v>36750</v>
      </c>
      <c r="P25" s="7">
        <f t="shared" si="7"/>
        <v>0</v>
      </c>
      <c r="Q25" s="7"/>
      <c r="R25" s="7">
        <f t="shared" si="12"/>
        <v>12250</v>
      </c>
      <c r="S25" s="7">
        <f t="shared" si="12"/>
        <v>12250</v>
      </c>
      <c r="T25" s="7">
        <f t="shared" si="12"/>
        <v>12250</v>
      </c>
      <c r="U25" s="7">
        <f t="shared" si="16"/>
        <v>36750</v>
      </c>
      <c r="V25" s="7">
        <v>36750</v>
      </c>
      <c r="W25" s="7">
        <f t="shared" si="9"/>
        <v>0</v>
      </c>
      <c r="X25" s="7"/>
      <c r="Y25" s="7">
        <f t="shared" si="12"/>
        <v>12250</v>
      </c>
      <c r="Z25" s="7">
        <f t="shared" si="12"/>
        <v>12250</v>
      </c>
      <c r="AA25" s="7">
        <f t="shared" si="12"/>
        <v>12250</v>
      </c>
      <c r="AB25" s="7">
        <f t="shared" si="17"/>
        <v>36750</v>
      </c>
      <c r="AC25" s="7">
        <v>41150</v>
      </c>
      <c r="AD25" s="7">
        <f t="shared" si="18"/>
        <v>-4400</v>
      </c>
      <c r="AE25" s="57" t="s">
        <v>124</v>
      </c>
      <c r="AF25" s="69">
        <f t="shared" ref="AF25:AF26" si="21">+G25+N25+U25+AB25</f>
        <v>147000</v>
      </c>
      <c r="AG25" s="14">
        <f t="shared" si="19"/>
        <v>4410</v>
      </c>
      <c r="AH25" s="55">
        <v>4400</v>
      </c>
      <c r="AI25" s="69">
        <f t="shared" ref="AI25:AI26" si="22">+AF25+AH25</f>
        <v>151400</v>
      </c>
    </row>
    <row r="26" spans="1:35" s="1" customFormat="1">
      <c r="A26" s="3" t="s">
        <v>123</v>
      </c>
      <c r="B26" s="22"/>
      <c r="C26" s="22">
        <f>IGNORE!D37</f>
        <v>0</v>
      </c>
      <c r="D26" s="7">
        <f t="shared" si="12"/>
        <v>0</v>
      </c>
      <c r="E26" s="7">
        <f t="shared" si="12"/>
        <v>0</v>
      </c>
      <c r="F26" s="7">
        <f t="shared" si="12"/>
        <v>0</v>
      </c>
      <c r="G26" s="7">
        <f t="shared" si="13"/>
        <v>0</v>
      </c>
      <c r="H26" s="7">
        <v>0</v>
      </c>
      <c r="I26" s="7">
        <f t="shared" si="14"/>
        <v>0</v>
      </c>
      <c r="J26" s="37"/>
      <c r="K26" s="7">
        <f t="shared" si="12"/>
        <v>0</v>
      </c>
      <c r="L26" s="7">
        <f t="shared" si="12"/>
        <v>0</v>
      </c>
      <c r="M26" s="7">
        <f t="shared" si="12"/>
        <v>0</v>
      </c>
      <c r="N26" s="7">
        <f t="shared" si="15"/>
        <v>0</v>
      </c>
      <c r="O26" s="7">
        <v>0</v>
      </c>
      <c r="P26" s="7">
        <f t="shared" si="7"/>
        <v>0</v>
      </c>
      <c r="Q26" s="7"/>
      <c r="R26" s="7">
        <f t="shared" si="12"/>
        <v>0</v>
      </c>
      <c r="S26" s="7">
        <f t="shared" si="12"/>
        <v>0</v>
      </c>
      <c r="T26" s="7">
        <f t="shared" si="12"/>
        <v>0</v>
      </c>
      <c r="U26" s="7">
        <f t="shared" si="16"/>
        <v>0</v>
      </c>
      <c r="V26" s="7">
        <v>0</v>
      </c>
      <c r="W26" s="7">
        <f t="shared" si="9"/>
        <v>0</v>
      </c>
      <c r="X26" s="7"/>
      <c r="Y26" s="7">
        <f t="shared" si="12"/>
        <v>0</v>
      </c>
      <c r="Z26" s="7">
        <f t="shared" si="12"/>
        <v>0</v>
      </c>
      <c r="AA26" s="7">
        <f t="shared" si="12"/>
        <v>0</v>
      </c>
      <c r="AB26" s="7">
        <f t="shared" si="17"/>
        <v>0</v>
      </c>
      <c r="AC26" s="7">
        <v>12633.32</v>
      </c>
      <c r="AD26" s="7">
        <f t="shared" si="18"/>
        <v>-12633.32</v>
      </c>
      <c r="AE26" s="38">
        <v>24</v>
      </c>
      <c r="AF26" s="69">
        <f t="shared" si="21"/>
        <v>0</v>
      </c>
      <c r="AG26" s="14">
        <f t="shared" si="19"/>
        <v>0</v>
      </c>
      <c r="AH26" s="55">
        <v>300</v>
      </c>
      <c r="AI26" s="69">
        <f t="shared" si="22"/>
        <v>300</v>
      </c>
    </row>
    <row r="27" spans="1:35" s="1" customFormat="1">
      <c r="A27" s="3" t="s">
        <v>64</v>
      </c>
      <c r="B27" s="22"/>
      <c r="C27" s="22">
        <f>'SEP contribution'!C31</f>
        <v>0</v>
      </c>
      <c r="D27" s="7">
        <f t="shared" si="12"/>
        <v>0</v>
      </c>
      <c r="E27" s="7">
        <f t="shared" si="12"/>
        <v>0</v>
      </c>
      <c r="F27" s="7">
        <f t="shared" si="12"/>
        <v>0</v>
      </c>
      <c r="G27" s="7">
        <f t="shared" si="13"/>
        <v>0</v>
      </c>
      <c r="H27" s="7">
        <v>0</v>
      </c>
      <c r="I27" s="7">
        <f t="shared" si="14"/>
        <v>0</v>
      </c>
      <c r="J27" s="37"/>
      <c r="K27" s="7">
        <f t="shared" si="12"/>
        <v>0</v>
      </c>
      <c r="L27" s="7">
        <f t="shared" si="12"/>
        <v>0</v>
      </c>
      <c r="M27" s="7">
        <f t="shared" si="12"/>
        <v>0</v>
      </c>
      <c r="N27" s="7">
        <f t="shared" si="15"/>
        <v>0</v>
      </c>
      <c r="O27" s="7">
        <v>0</v>
      </c>
      <c r="P27" s="7">
        <f t="shared" si="7"/>
        <v>0</v>
      </c>
      <c r="Q27" s="7"/>
      <c r="R27" s="7">
        <f t="shared" si="12"/>
        <v>0</v>
      </c>
      <c r="S27" s="7">
        <f t="shared" si="12"/>
        <v>0</v>
      </c>
      <c r="T27" s="7">
        <f t="shared" si="12"/>
        <v>0</v>
      </c>
      <c r="U27" s="7">
        <f t="shared" si="16"/>
        <v>0</v>
      </c>
      <c r="V27" s="7">
        <v>0</v>
      </c>
      <c r="W27" s="51">
        <f t="shared" si="9"/>
        <v>0</v>
      </c>
      <c r="X27" s="52"/>
      <c r="Y27" s="7">
        <f t="shared" si="12"/>
        <v>0</v>
      </c>
      <c r="Z27" s="7">
        <f t="shared" si="12"/>
        <v>0</v>
      </c>
      <c r="AA27" s="7">
        <f t="shared" si="12"/>
        <v>0</v>
      </c>
      <c r="AB27" s="7">
        <f t="shared" si="17"/>
        <v>0</v>
      </c>
      <c r="AC27" s="7">
        <v>0</v>
      </c>
      <c r="AD27" s="7">
        <f t="shared" si="18"/>
        <v>0</v>
      </c>
      <c r="AE27" s="7"/>
      <c r="AF27" s="6">
        <f>SUM(D27:AA27)</f>
        <v>0</v>
      </c>
      <c r="AG27" s="14">
        <f t="shared" si="19"/>
        <v>0</v>
      </c>
      <c r="AH27" s="56"/>
    </row>
    <row r="28" spans="1:35" s="1" customFormat="1">
      <c r="A28" s="3" t="s">
        <v>22</v>
      </c>
      <c r="B28" s="8">
        <f t="shared" ref="B28:AH28" si="23">SUM(B4:B27)</f>
        <v>2369425</v>
      </c>
      <c r="C28" s="8">
        <f t="shared" si="23"/>
        <v>2375525</v>
      </c>
      <c r="D28" s="8">
        <f t="shared" si="23"/>
        <v>197960.41666666666</v>
      </c>
      <c r="E28" s="8">
        <f t="shared" si="23"/>
        <v>197960.41666666666</v>
      </c>
      <c r="F28" s="8">
        <f t="shared" si="23"/>
        <v>197960.41666666666</v>
      </c>
      <c r="G28" s="8">
        <f t="shared" si="23"/>
        <v>593881.25</v>
      </c>
      <c r="H28" s="8">
        <f t="shared" si="23"/>
        <v>595466.62</v>
      </c>
      <c r="I28" s="8">
        <f t="shared" si="23"/>
        <v>-1585.3699999999981</v>
      </c>
      <c r="J28" s="8"/>
      <c r="K28" s="8">
        <f t="shared" si="23"/>
        <v>197960.41666666666</v>
      </c>
      <c r="L28" s="8">
        <f t="shared" si="23"/>
        <v>499732.41666666663</v>
      </c>
      <c r="M28" s="8">
        <f t="shared" si="23"/>
        <v>197960.41666666666</v>
      </c>
      <c r="N28" s="8">
        <f t="shared" si="23"/>
        <v>895653.25</v>
      </c>
      <c r="O28" s="8">
        <f t="shared" si="23"/>
        <v>896124.82</v>
      </c>
      <c r="P28" s="8">
        <f t="shared" si="23"/>
        <v>-471.56999999998334</v>
      </c>
      <c r="Q28" s="8"/>
      <c r="R28" s="8">
        <f t="shared" si="23"/>
        <v>197960.41666666666</v>
      </c>
      <c r="S28" s="8">
        <f t="shared" si="23"/>
        <v>197960.41666666666</v>
      </c>
      <c r="T28" s="8">
        <f t="shared" si="23"/>
        <v>197960.41666666666</v>
      </c>
      <c r="U28" s="8">
        <f t="shared" si="23"/>
        <v>593881.25</v>
      </c>
      <c r="V28" s="8">
        <f>SUM(V4:V27)</f>
        <v>592495.56000000006</v>
      </c>
      <c r="W28" s="8">
        <f>SUM(W4:W27)</f>
        <v>1385.6900000000028</v>
      </c>
      <c r="X28" s="8"/>
      <c r="Y28" s="8">
        <f t="shared" si="23"/>
        <v>197960.41666666666</v>
      </c>
      <c r="Z28" s="8">
        <f t="shared" si="23"/>
        <v>197960.41666666666</v>
      </c>
      <c r="AA28" s="8">
        <f t="shared" si="23"/>
        <v>197960.41666666666</v>
      </c>
      <c r="AB28" s="8">
        <f t="shared" si="23"/>
        <v>593881.25</v>
      </c>
      <c r="AC28" s="8">
        <f t="shared" si="23"/>
        <v>669338.49999999988</v>
      </c>
      <c r="AD28" s="8">
        <f t="shared" si="23"/>
        <v>-75457.25</v>
      </c>
      <c r="AE28" s="8"/>
      <c r="AF28" s="8">
        <f t="shared" si="23"/>
        <v>2677297</v>
      </c>
      <c r="AG28" s="8">
        <f t="shared" si="23"/>
        <v>56265.75</v>
      </c>
      <c r="AH28" s="8">
        <f t="shared" si="23"/>
        <v>55750</v>
      </c>
      <c r="AI28" s="8">
        <f>SUM(AI4:AI27)</f>
        <v>2733047</v>
      </c>
    </row>
    <row r="29" spans="1:35" s="1" customFormat="1" ht="16.5" customHeight="1">
      <c r="A29" s="3"/>
      <c r="B29" s="22"/>
      <c r="C29" s="22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6"/>
      <c r="AG29" s="9"/>
      <c r="AH29" s="3"/>
    </row>
    <row r="30" spans="1:35" s="1" customFormat="1">
      <c r="A30" s="4"/>
      <c r="B30" s="23"/>
      <c r="C30" s="2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" t="s">
        <v>58</v>
      </c>
      <c r="AG30" s="3"/>
      <c r="AH30" s="3"/>
    </row>
    <row r="31" spans="1:35" s="1" customFormat="1">
      <c r="A31" s="3"/>
      <c r="B31" s="22"/>
      <c r="C31" s="22"/>
      <c r="D31" s="5" t="s">
        <v>8</v>
      </c>
      <c r="E31" s="5" t="s">
        <v>9</v>
      </c>
      <c r="F31" s="5" t="s">
        <v>10</v>
      </c>
      <c r="G31" s="5" t="s">
        <v>83</v>
      </c>
      <c r="H31" s="36" t="s">
        <v>84</v>
      </c>
      <c r="I31" s="5" t="s">
        <v>21</v>
      </c>
      <c r="J31" s="5" t="s">
        <v>86</v>
      </c>
      <c r="K31" s="5" t="s">
        <v>11</v>
      </c>
      <c r="L31" s="5" t="s">
        <v>12</v>
      </c>
      <c r="M31" s="5" t="s">
        <v>13</v>
      </c>
      <c r="N31" s="5" t="s">
        <v>83</v>
      </c>
      <c r="O31" s="36" t="s">
        <v>84</v>
      </c>
      <c r="P31" s="5" t="s">
        <v>21</v>
      </c>
      <c r="Q31" s="5" t="s">
        <v>86</v>
      </c>
      <c r="R31" s="5" t="s">
        <v>14</v>
      </c>
      <c r="S31" s="5" t="s">
        <v>15</v>
      </c>
      <c r="T31" s="5" t="s">
        <v>16</v>
      </c>
      <c r="U31" s="5" t="s">
        <v>83</v>
      </c>
      <c r="V31" s="36" t="s">
        <v>84</v>
      </c>
      <c r="W31" s="5" t="s">
        <v>21</v>
      </c>
      <c r="X31" s="5" t="s">
        <v>86</v>
      </c>
      <c r="Y31" s="5" t="s">
        <v>17</v>
      </c>
      <c r="Z31" s="5" t="s">
        <v>18</v>
      </c>
      <c r="AA31" s="5" t="s">
        <v>19</v>
      </c>
      <c r="AB31" s="5" t="s">
        <v>83</v>
      </c>
      <c r="AC31" s="36" t="s">
        <v>84</v>
      </c>
      <c r="AD31" s="5" t="s">
        <v>21</v>
      </c>
      <c r="AE31" s="5"/>
      <c r="AF31" s="5" t="s">
        <v>20</v>
      </c>
      <c r="AG31" s="5" t="s">
        <v>6</v>
      </c>
      <c r="AH31" s="3"/>
    </row>
    <row r="32" spans="1:35" s="1" customFormat="1">
      <c r="A32" s="3" t="s">
        <v>23</v>
      </c>
      <c r="B32" s="3"/>
      <c r="C32" s="3"/>
      <c r="D32" s="6"/>
      <c r="E32" s="6"/>
      <c r="F32" s="6"/>
      <c r="G32" s="6"/>
      <c r="H32" s="6"/>
      <c r="I32" s="6"/>
      <c r="J32" s="3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3"/>
    </row>
    <row r="33" spans="1:34" s="1" customFormat="1">
      <c r="A33" s="3" t="s">
        <v>22</v>
      </c>
      <c r="B33" s="3"/>
      <c r="C33" s="3"/>
      <c r="D33" s="6">
        <f>+D28</f>
        <v>197960.41666666666</v>
      </c>
      <c r="E33" s="6">
        <f t="shared" ref="E33:AG33" si="24">+E28</f>
        <v>197960.41666666666</v>
      </c>
      <c r="F33" s="6">
        <f t="shared" si="24"/>
        <v>197960.41666666666</v>
      </c>
      <c r="G33" s="6">
        <f>SUM(D33:F33)</f>
        <v>593881.25</v>
      </c>
      <c r="H33" s="6">
        <v>595466.63</v>
      </c>
      <c r="I33" s="7">
        <f t="shared" ref="I33" si="25">SUM(G33-H33)</f>
        <v>-1585.3800000000047</v>
      </c>
      <c r="J33" s="38"/>
      <c r="K33" s="6">
        <f t="shared" si="24"/>
        <v>197960.41666666666</v>
      </c>
      <c r="L33" s="6">
        <f t="shared" si="24"/>
        <v>499732.41666666663</v>
      </c>
      <c r="M33" s="6">
        <f t="shared" si="24"/>
        <v>197960.41666666666</v>
      </c>
      <c r="N33" s="6">
        <f>SUM(K33:M33)</f>
        <v>895653.24999999988</v>
      </c>
      <c r="O33" s="6">
        <f>SUM(912624.83-16500)</f>
        <v>896124.83</v>
      </c>
      <c r="P33" s="6">
        <f>N33-O33</f>
        <v>-471.58000000007451</v>
      </c>
      <c r="Q33" s="6"/>
      <c r="R33" s="6">
        <f t="shared" si="24"/>
        <v>197960.41666666666</v>
      </c>
      <c r="S33" s="6">
        <f t="shared" si="24"/>
        <v>197960.41666666666</v>
      </c>
      <c r="T33" s="6">
        <f t="shared" si="24"/>
        <v>197960.41666666666</v>
      </c>
      <c r="U33" s="6">
        <f>SUM(R33:T33)</f>
        <v>593881.25</v>
      </c>
      <c r="V33" s="6">
        <v>592495.56000000006</v>
      </c>
      <c r="W33" s="7">
        <f t="shared" ref="W33" si="26">U33-V33</f>
        <v>1385.6899999999441</v>
      </c>
      <c r="X33" s="7"/>
      <c r="Y33" s="6">
        <f t="shared" si="24"/>
        <v>197960.41666666666</v>
      </c>
      <c r="Z33" s="6">
        <f t="shared" si="24"/>
        <v>197960.41666666666</v>
      </c>
      <c r="AA33" s="6">
        <f t="shared" si="24"/>
        <v>197960.41666666666</v>
      </c>
      <c r="AB33" s="6">
        <f>SUM(Y33:AA33)</f>
        <v>593881.25</v>
      </c>
      <c r="AC33" s="6">
        <f>SUM(626440.23-9450)</f>
        <v>616990.23</v>
      </c>
      <c r="AD33" s="6">
        <f>AA33-AB33</f>
        <v>-395920.83333333337</v>
      </c>
      <c r="AE33" s="6"/>
      <c r="AF33" s="6">
        <f t="shared" si="24"/>
        <v>2677297</v>
      </c>
      <c r="AG33" s="6">
        <f t="shared" si="24"/>
        <v>56265.75</v>
      </c>
      <c r="AH33" s="3"/>
    </row>
    <row r="34" spans="1:34" s="1" customFormat="1">
      <c r="A34" s="3" t="s">
        <v>43</v>
      </c>
      <c r="B34" s="3"/>
      <c r="C34" s="3"/>
      <c r="D34" s="27"/>
      <c r="E34" s="27"/>
      <c r="F34" s="27"/>
      <c r="G34" s="27"/>
      <c r="H34" s="27"/>
      <c r="I34" s="27"/>
      <c r="J34" s="39"/>
      <c r="K34" s="27"/>
      <c r="L34" s="27">
        <v>18240</v>
      </c>
      <c r="M34" s="27"/>
      <c r="N34" s="27">
        <f>SUM(K34:M34)</f>
        <v>18240</v>
      </c>
      <c r="O34" s="27">
        <v>-18240</v>
      </c>
      <c r="P34" s="27">
        <f>SUM(N34:O34)</f>
        <v>0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6">
        <f>SUM(D34:AA34)</f>
        <v>18240</v>
      </c>
      <c r="AH34" s="3"/>
    </row>
    <row r="35" spans="1:34" s="1" customFormat="1">
      <c r="A35" s="3" t="s">
        <v>44</v>
      </c>
      <c r="B35" s="3"/>
      <c r="C35" s="3"/>
      <c r="D35" s="27"/>
      <c r="E35" s="21"/>
      <c r="F35" s="21"/>
      <c r="G35" s="21"/>
      <c r="H35" s="21"/>
      <c r="I35" s="21"/>
      <c r="J35" s="40"/>
      <c r="K35" s="21"/>
      <c r="L35" s="20">
        <v>53200</v>
      </c>
      <c r="M35" s="20"/>
      <c r="N35" s="61">
        <f>SUM(L35:M35)</f>
        <v>53200</v>
      </c>
      <c r="O35" s="20">
        <v>-53156.73</v>
      </c>
      <c r="P35" s="20">
        <f>SUM(N35:O35)</f>
        <v>43.269999999996799</v>
      </c>
      <c r="Q35" s="62">
        <v>10</v>
      </c>
      <c r="R35" s="21"/>
      <c r="S35" s="21"/>
      <c r="T35" s="21"/>
      <c r="U35" s="21"/>
      <c r="V35" s="21"/>
      <c r="W35" s="21"/>
      <c r="X35" s="21"/>
      <c r="Y35" s="21"/>
      <c r="Z35" s="21"/>
      <c r="AA35" s="27"/>
      <c r="AB35" s="27"/>
      <c r="AC35" s="27"/>
      <c r="AD35" s="27"/>
      <c r="AE35" s="27"/>
      <c r="AF35" s="6">
        <f>SUM(D35:AA35)</f>
        <v>53296.539999999994</v>
      </c>
      <c r="AG35" s="6"/>
      <c r="AH35" s="3"/>
    </row>
    <row r="36" spans="1:34" s="1" customFormat="1">
      <c r="A36" s="3" t="s">
        <v>45</v>
      </c>
      <c r="B36" s="3"/>
      <c r="C36" s="3"/>
      <c r="D36" s="27"/>
      <c r="E36" s="21"/>
      <c r="F36" s="21"/>
      <c r="G36" s="21"/>
      <c r="H36" s="21"/>
      <c r="I36" s="21"/>
      <c r="J36" s="40"/>
      <c r="K36" s="21"/>
      <c r="L36" s="20">
        <v>230332</v>
      </c>
      <c r="M36" s="27"/>
      <c r="N36" s="27">
        <f>SUM(K36:M36)</f>
        <v>230332</v>
      </c>
      <c r="O36" s="27">
        <v>-230332</v>
      </c>
      <c r="P36" s="27">
        <f>SUM(N36:O36)</f>
        <v>0</v>
      </c>
      <c r="Q36" s="27"/>
      <c r="R36" s="21"/>
      <c r="S36" s="21"/>
      <c r="T36" s="21"/>
      <c r="U36" s="21"/>
      <c r="V36" s="21"/>
      <c r="W36" s="21"/>
      <c r="X36" s="21"/>
      <c r="Y36" s="21"/>
      <c r="Z36" s="21"/>
      <c r="AA36" s="27"/>
      <c r="AB36" s="27"/>
      <c r="AC36" s="27"/>
      <c r="AD36" s="27"/>
      <c r="AE36" s="27"/>
      <c r="AF36" s="6">
        <f>SUM(D36:AA36)</f>
        <v>230332</v>
      </c>
      <c r="AG36" s="6"/>
      <c r="AH36" s="3"/>
    </row>
    <row r="37" spans="1:34" s="1" customFormat="1">
      <c r="A37" s="21" t="s">
        <v>80</v>
      </c>
      <c r="B37" s="21"/>
      <c r="C37" s="21"/>
      <c r="D37" s="27">
        <v>1200</v>
      </c>
      <c r="E37" s="27">
        <v>1200</v>
      </c>
      <c r="F37" s="27">
        <v>1200</v>
      </c>
      <c r="G37" s="27">
        <f>SUM(D37:F37)</f>
        <v>3600</v>
      </c>
      <c r="H37" s="27">
        <f>SUM(1182.07*3)</f>
        <v>3546.21</v>
      </c>
      <c r="I37" s="7">
        <f t="shared" ref="I37" si="27">SUM(G37-H37)</f>
        <v>53.789999999999964</v>
      </c>
      <c r="J37" s="41">
        <v>7</v>
      </c>
      <c r="K37" s="27">
        <v>1200</v>
      </c>
      <c r="L37" s="27">
        <v>1200</v>
      </c>
      <c r="M37" s="27">
        <v>1200</v>
      </c>
      <c r="N37" s="27">
        <f>SUM(K37:M37)</f>
        <v>3600</v>
      </c>
      <c r="O37" s="27">
        <f>SUM(1182.07*3)</f>
        <v>3546.21</v>
      </c>
      <c r="P37" s="27">
        <f>N37-O37</f>
        <v>53.789999999999964</v>
      </c>
      <c r="Q37" s="41">
        <v>7</v>
      </c>
      <c r="R37" s="27">
        <v>1200</v>
      </c>
      <c r="S37" s="27">
        <v>1200</v>
      </c>
      <c r="T37" s="27">
        <v>1200</v>
      </c>
      <c r="U37" s="27">
        <f>SUM(R37:T37)</f>
        <v>3600</v>
      </c>
      <c r="V37" s="27">
        <f>SUM(1182.07*3)</f>
        <v>3546.21</v>
      </c>
      <c r="W37" s="27">
        <f>U37-V37</f>
        <v>53.789999999999964</v>
      </c>
      <c r="X37" s="41">
        <v>7</v>
      </c>
      <c r="Y37" s="27">
        <v>1200</v>
      </c>
      <c r="Z37" s="27">
        <v>1200</v>
      </c>
      <c r="AA37" s="27">
        <v>1200</v>
      </c>
      <c r="AB37" s="27">
        <f>SUM(Y37:AA37)</f>
        <v>3600</v>
      </c>
      <c r="AC37" s="27">
        <v>3546.21</v>
      </c>
      <c r="AD37" s="27">
        <f>AB37-AC37</f>
        <v>53.789999999999964</v>
      </c>
      <c r="AE37" s="41">
        <v>7</v>
      </c>
      <c r="AF37" s="6">
        <f>SUM(D37:AA37)</f>
        <v>36021</v>
      </c>
      <c r="AG37" s="6"/>
      <c r="AH37" s="3"/>
    </row>
    <row r="38" spans="1:34" s="1" customFormat="1">
      <c r="A38" s="3" t="s">
        <v>24</v>
      </c>
      <c r="B38" s="3">
        <v>0.15</v>
      </c>
      <c r="C38" s="3"/>
      <c r="D38" s="27"/>
      <c r="E38" s="21"/>
      <c r="F38" s="21"/>
      <c r="G38" s="21"/>
      <c r="H38" s="21"/>
      <c r="I38" s="21"/>
      <c r="J38" s="21"/>
      <c r="K38" s="21"/>
      <c r="L38" s="27">
        <v>16500</v>
      </c>
      <c r="M38" s="27"/>
      <c r="N38" s="27">
        <f>SUM(K38:M38)</f>
        <v>16500</v>
      </c>
      <c r="O38" s="27">
        <v>-16500</v>
      </c>
      <c r="P38" s="27">
        <f>SUM(N38:O38)</f>
        <v>0</v>
      </c>
      <c r="Q38" s="27"/>
      <c r="R38" s="27"/>
      <c r="S38" s="27"/>
      <c r="T38" s="21"/>
      <c r="U38" s="21"/>
      <c r="V38" s="21"/>
      <c r="W38" s="21"/>
      <c r="X38" s="21"/>
      <c r="Y38" s="33">
        <f>((SUM(D24:Y24)-245000))*B38</f>
        <v>68250</v>
      </c>
      <c r="Z38" s="20">
        <f>Z24*B38</f>
        <v>3750</v>
      </c>
      <c r="AA38" s="20">
        <f>AA24*B38</f>
        <v>3750</v>
      </c>
      <c r="AB38" s="33">
        <f>SUM(Y38:AA38)</f>
        <v>75750</v>
      </c>
      <c r="AC38" s="20">
        <v>9450</v>
      </c>
      <c r="AD38" s="33">
        <f>AB38-AC38</f>
        <v>66300</v>
      </c>
      <c r="AE38" s="20"/>
      <c r="AF38" s="6">
        <f>SUM(D38:AA38)</f>
        <v>92250</v>
      </c>
      <c r="AG38" s="6">
        <f>(AG24*B38)</f>
        <v>1350</v>
      </c>
      <c r="AH38" s="3"/>
    </row>
    <row r="39" spans="1:34" s="1" customFormat="1" ht="17.25">
      <c r="A39" s="3" t="s">
        <v>25</v>
      </c>
      <c r="B39" s="3"/>
      <c r="C39" s="3"/>
      <c r="D39" s="16">
        <f t="shared" ref="D39:AG39" si="28">SUM(D33:D38)</f>
        <v>199160.41666666666</v>
      </c>
      <c r="E39" s="16">
        <f t="shared" si="28"/>
        <v>199160.41666666666</v>
      </c>
      <c r="F39" s="16">
        <f t="shared" si="28"/>
        <v>199160.41666666666</v>
      </c>
      <c r="G39" s="16">
        <f t="shared" si="28"/>
        <v>597481.25</v>
      </c>
      <c r="H39" s="16">
        <f t="shared" si="28"/>
        <v>599012.84</v>
      </c>
      <c r="I39" s="16">
        <f t="shared" si="28"/>
        <v>-1531.5900000000047</v>
      </c>
      <c r="J39" s="16"/>
      <c r="K39" s="16">
        <f t="shared" si="28"/>
        <v>199160.41666666666</v>
      </c>
      <c r="L39" s="16">
        <f t="shared" si="28"/>
        <v>819204.41666666663</v>
      </c>
      <c r="M39" s="16">
        <f t="shared" si="28"/>
        <v>199160.41666666666</v>
      </c>
      <c r="N39" s="16">
        <f t="shared" si="28"/>
        <v>1217525.25</v>
      </c>
      <c r="O39" s="16">
        <f t="shared" si="28"/>
        <v>581442.30999999994</v>
      </c>
      <c r="P39" s="16">
        <f t="shared" si="28"/>
        <v>-374.52000000007774</v>
      </c>
      <c r="Q39" s="16"/>
      <c r="R39" s="16">
        <f t="shared" si="28"/>
        <v>199160.41666666666</v>
      </c>
      <c r="S39" s="16">
        <f t="shared" si="28"/>
        <v>199160.41666666666</v>
      </c>
      <c r="T39" s="16">
        <f t="shared" si="28"/>
        <v>199160.41666666666</v>
      </c>
      <c r="U39" s="16">
        <f t="shared" si="28"/>
        <v>597481.25</v>
      </c>
      <c r="V39" s="16">
        <f t="shared" si="28"/>
        <v>596041.77</v>
      </c>
      <c r="W39" s="16">
        <f t="shared" si="28"/>
        <v>1439.4799999999441</v>
      </c>
      <c r="X39" s="16"/>
      <c r="Y39" s="16">
        <f t="shared" si="28"/>
        <v>267410.41666666663</v>
      </c>
      <c r="Z39" s="16">
        <f t="shared" si="28"/>
        <v>202910.41666666666</v>
      </c>
      <c r="AA39" s="16">
        <f t="shared" si="28"/>
        <v>202910.41666666666</v>
      </c>
      <c r="AB39" s="16">
        <f t="shared" si="28"/>
        <v>673231.25</v>
      </c>
      <c r="AC39" s="16">
        <f t="shared" si="28"/>
        <v>629986.43999999994</v>
      </c>
      <c r="AD39" s="16">
        <f t="shared" si="28"/>
        <v>-329567.04333333339</v>
      </c>
      <c r="AE39" s="16"/>
      <c r="AF39" s="16">
        <f t="shared" si="28"/>
        <v>3107436.54</v>
      </c>
      <c r="AG39" s="16">
        <f t="shared" si="28"/>
        <v>57615.75</v>
      </c>
      <c r="AH39" s="3"/>
    </row>
    <row r="40" spans="1:34" s="1" customFormat="1">
      <c r="A40" s="3"/>
      <c r="B40" s="3"/>
      <c r="C40" s="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3"/>
      <c r="AH40" s="3"/>
    </row>
    <row r="41" spans="1:34" s="1" customFormat="1">
      <c r="A41" s="21" t="s">
        <v>74</v>
      </c>
      <c r="B41" s="32">
        <v>106800</v>
      </c>
      <c r="C41" s="3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18"/>
      <c r="AH41" s="3"/>
    </row>
    <row r="42" spans="1:34" s="1" customFormat="1">
      <c r="A42" s="3" t="s">
        <v>59</v>
      </c>
      <c r="B42" s="3"/>
      <c r="C42" s="3"/>
      <c r="D42" s="6" t="str">
        <f>IF(SUM(D9:D10)&gt;$B$41,(-SUM(D9:D10)+$B$41)," ")</f>
        <v xml:space="preserve"> </v>
      </c>
      <c r="E42" s="6" t="str">
        <f>IF(SUM(D9:E10)&gt;$B$41,(-SUM(D9:E10)+$B$41)," ")</f>
        <v xml:space="preserve"> </v>
      </c>
      <c r="F42" s="6">
        <f>IF(SUM(D9:F10)&gt;$B$41,(-SUM(D9:F10)+$B$41)," ")</f>
        <v>-18200</v>
      </c>
      <c r="G42" s="6">
        <v>-18200</v>
      </c>
      <c r="H42" s="6">
        <v>18200.009999999998</v>
      </c>
      <c r="I42" s="7">
        <f>SUM(G42:H42)</f>
        <v>9.9999999983992893E-3</v>
      </c>
      <c r="J42" s="6"/>
      <c r="K42" s="68">
        <f>IF(SUM(D9:K10)&gt;$B$41,(-SUM(D9:K10)+$B$41)-SUM(D42:F42)," ")</f>
        <v>-291668.66666666669</v>
      </c>
      <c r="L42" s="68">
        <f>IF(SUM(D9:L10)&gt;$B$41,(-SUM(D9:L10)+$B$41)-SUM(D42:K42)," ")</f>
        <v>-343438.6866666667</v>
      </c>
      <c r="M42" s="68">
        <f>IF(SUM(D9:M10)&gt;$B$41,(-SUM(D9:M10)+$B$41)-SUM(D42:L42)," ")</f>
        <v>-41666.666666666628</v>
      </c>
      <c r="N42" s="6">
        <f>SUM(K42:M42)</f>
        <v>-676774.02</v>
      </c>
      <c r="O42" s="6">
        <v>125000.01</v>
      </c>
      <c r="P42" s="7">
        <f t="shared" ref="P42:P44" si="29">SUM(N42:O42)</f>
        <v>-551774.01</v>
      </c>
      <c r="Q42" s="6"/>
      <c r="R42" s="6">
        <f>IF(SUM(D9:R10)&gt;$B$41,(-SUM(D9:R10)+$B$41)-SUM(D42:M42)," ")</f>
        <v>-895220.66666666651</v>
      </c>
      <c r="S42" s="6">
        <f>IF(SUM(D9:S10)&gt;$B$41,(-SUM(D9:S10)+$B$41)-SUM(D42:R42)," ")</f>
        <v>1061881.3533333333</v>
      </c>
      <c r="T42" s="6">
        <f>IF(SUM(D9:T10)&gt;$B$41,(-SUM(D9:T10)+$B$41)-SUM(D42:S42)," ")</f>
        <v>-41666.666666666744</v>
      </c>
      <c r="U42" s="6">
        <f>SUM(R42:T42)</f>
        <v>124994.02000000002</v>
      </c>
      <c r="V42" s="6">
        <v>125000</v>
      </c>
      <c r="W42" s="7">
        <f>SUM(U42:V42)</f>
        <v>249994.02000000002</v>
      </c>
      <c r="X42" s="6"/>
      <c r="Y42" s="6">
        <f>IF(SUM(D9:Y10)&gt;$B$41,(-SUM(D9:Y10)+$B$41)-SUM(D42:T42)," ")</f>
        <v>-291666.66666666651</v>
      </c>
      <c r="Z42" s="6">
        <f>IF(SUM(D9:Z10)&gt;$B$41,(-SUM(D9:Z10)+$B$41)-SUM(D42:Y42)," ")</f>
        <v>-541654.70666666701</v>
      </c>
      <c r="AA42" s="6">
        <f>IF(SUM(D9:AA10)&gt;$B$41,(-SUM(D9:AA10)+$B$41)-SUM(D42:Z42)," ")</f>
        <v>-41666.666666666511</v>
      </c>
      <c r="AB42" s="6">
        <f>SUM(Y42:AA42)</f>
        <v>-874988.04</v>
      </c>
      <c r="AC42" s="6">
        <v>125000.01</v>
      </c>
      <c r="AD42" s="6">
        <f>SUM(AB42-AC42)</f>
        <v>-999988.05</v>
      </c>
      <c r="AE42" s="6"/>
      <c r="AF42" s="6">
        <f>SUM(D42:AA42)</f>
        <v>-2048528</v>
      </c>
      <c r="AG42" s="6">
        <f>IF((SUM(D9:AA10)+AG9+AG10)&gt;$B$41,(-(SUM(D9:AA10)+AG9+AG10)+$B$41)-SUM(D42:AA42)," ")</f>
        <v>0</v>
      </c>
      <c r="AH42" s="3"/>
    </row>
    <row r="43" spans="1:34" s="1" customFormat="1">
      <c r="A43" s="3" t="s">
        <v>102</v>
      </c>
      <c r="B43" s="3"/>
      <c r="C43" s="3"/>
      <c r="D43" s="6"/>
      <c r="E43" s="6"/>
      <c r="F43" s="6" t="str">
        <f>IF(SUM(D24:F24)&gt;$B$41,(-SUM(D24:F24)+$B$41)," ")</f>
        <v xml:space="preserve"> </v>
      </c>
      <c r="G43" s="6"/>
      <c r="H43" s="6"/>
      <c r="I43" s="6"/>
      <c r="J43" s="6"/>
      <c r="K43" s="68"/>
      <c r="L43" s="68"/>
      <c r="M43" s="68"/>
      <c r="N43" s="68">
        <f>IF(SUM(+$G$24+$N$24)&gt;$B$41,(-SUM(+$G24+$N24)+$B$41))</f>
        <v>-43200</v>
      </c>
      <c r="O43" s="6">
        <v>43200</v>
      </c>
      <c r="P43" s="7">
        <f t="shared" si="29"/>
        <v>0</v>
      </c>
      <c r="Q43" s="6"/>
      <c r="R43" s="6"/>
      <c r="S43" s="6"/>
      <c r="T43" s="6"/>
      <c r="U43" s="68">
        <f>IF(SUM(+$G$24+$N$24+$U$24)&gt;$B$41,(-SUM(+$G$24+$N$24+$U$24)+$B$41))</f>
        <v>-118200</v>
      </c>
      <c r="V43" s="6">
        <f>'Excess Wages'!$D$19</f>
        <v>118200</v>
      </c>
      <c r="W43" s="7">
        <f>SUM(U43:V43)</f>
        <v>0</v>
      </c>
      <c r="X43" s="6"/>
      <c r="Y43" s="6"/>
      <c r="Z43" s="6"/>
      <c r="AA43" s="6"/>
      <c r="AB43" s="68">
        <f>IF(SUM(+$G$24+$N$24+$U$24+$AB$24+$AH$24)&gt;$B$41,(-SUM(+$G$24+$N$24+$U$24+$AB$24+$AH$24)+$B$41))</f>
        <v>-200900</v>
      </c>
      <c r="AC43" s="6">
        <f>'Excess Wages'!$D$29</f>
        <v>200900</v>
      </c>
      <c r="AD43" s="6">
        <f>SUM(AB43+AC43)</f>
        <v>0</v>
      </c>
      <c r="AE43" s="6"/>
      <c r="AF43" s="6">
        <f t="shared" ref="AF43:AF50" si="30">SUM(D43:AA43)</f>
        <v>0</v>
      </c>
      <c r="AG43" s="6">
        <f>IF((SUM(D24:AA24)+AG24)&gt;$B$41,(-(SUM(D24:AA24)+AG24)+$B$41)-SUM(D43:AA43)," ")</f>
        <v>-652200</v>
      </c>
      <c r="AH43" s="3"/>
    </row>
    <row r="44" spans="1:34" s="1" customFormat="1">
      <c r="A44" s="3" t="s">
        <v>73</v>
      </c>
      <c r="B44" s="3"/>
      <c r="C44" s="3"/>
      <c r="D44" s="3"/>
      <c r="E44" s="3"/>
      <c r="F44" s="6" t="str">
        <f>IF(SUM(D19:F19)&gt;$B$41,(-SUM(D19:F19)+$B$41)," ")</f>
        <v xml:space="preserve"> </v>
      </c>
      <c r="G44" s="6"/>
      <c r="H44" s="6"/>
      <c r="I44" s="6"/>
      <c r="J44" s="6"/>
      <c r="K44" s="68">
        <f>IF(SUM(D19:K19)&gt;$B$41,(-SUM(D19:K19)+$B$41)-SUM(D44:F44)," ")</f>
        <v>-108200</v>
      </c>
      <c r="L44" s="68">
        <f>IF(SUM(D19:L19)&gt;$B$41,(-SUM(D19:L19)+$B$41)-SUM(D44:K44)," ")</f>
        <v>-21500</v>
      </c>
      <c r="M44" s="68">
        <f>IF(SUM(D19:M19)&gt;$B$41,(-SUM(D19:M19)+$B$41)-SUM(D44:L44)," ")</f>
        <v>-21500</v>
      </c>
      <c r="N44" s="6">
        <f>SUM(K44:M44)</f>
        <v>-151200</v>
      </c>
      <c r="O44" s="6">
        <v>22200</v>
      </c>
      <c r="P44" s="7">
        <f t="shared" si="29"/>
        <v>-129000</v>
      </c>
      <c r="Q44" s="6"/>
      <c r="R44" s="6">
        <f>IF(SUM(D19:R19)&gt;$B$41,(-SUM(D19:R19)+$B$41)-SUM(D44:M44)," ")</f>
        <v>-150500</v>
      </c>
      <c r="S44" s="6">
        <f>IF(SUM(D19:S19)&gt;$B$41,(-SUM(D19:S19)+$B$41)-SUM(D44:R44)," ")</f>
        <v>236500</v>
      </c>
      <c r="T44" s="6">
        <f>IF(SUM(D19:T19)&gt;$B$41,(-SUM(D19:T19)+$B$41)-SUM(D44:S44)," ")</f>
        <v>-21500</v>
      </c>
      <c r="U44" s="6">
        <f t="shared" ref="U43:U50" si="31">SUM(R44:T44)</f>
        <v>64500</v>
      </c>
      <c r="V44" s="6">
        <v>64500</v>
      </c>
      <c r="W44" s="7">
        <f t="shared" ref="W44:W45" si="32">SUM(U44:V44)</f>
        <v>129000</v>
      </c>
      <c r="X44" s="6"/>
      <c r="Y44" s="6">
        <f>IF(SUM(D19:Y19)&gt;$B$41,(-SUM(D19:Y19)+$B$41)-SUM(D44:T44)," ")</f>
        <v>-150500</v>
      </c>
      <c r="Z44" s="6">
        <f>IF(SUM(D19:Z19)&gt;$B$41,(-SUM(D19:Z19)+$B$41)-SUM(D44:Y44)," ")</f>
        <v>-279500</v>
      </c>
      <c r="AA44" s="6">
        <f>IF(SUM(D19:AA19)&gt;$B$41,(-SUM(D19:AA19)+$B$41)-SUM(D44:Z44)," ")</f>
        <v>-21500</v>
      </c>
      <c r="AB44" s="6">
        <f t="shared" ref="AB43:AB50" si="33">SUM(Y44:AA44)</f>
        <v>-451500</v>
      </c>
      <c r="AC44" s="6">
        <v>72300</v>
      </c>
      <c r="AD44" s="6">
        <f t="shared" ref="AD43:AD50" si="34">SUM(AB44-AC44)</f>
        <v>-523800</v>
      </c>
      <c r="AE44" s="6"/>
      <c r="AF44" s="6">
        <f>SUM(D44:AA44)</f>
        <v>-538200</v>
      </c>
      <c r="AG44" s="6">
        <f>IF((SUM(D19:AA19)+AG19)&gt;$B$41,(-(SUM(D19:AA19)+AG19)+$B$41)-SUM(D44:AA44)," ")</f>
        <v>-7740</v>
      </c>
      <c r="AH44" s="3"/>
    </row>
    <row r="45" spans="1:34" s="1" customFormat="1">
      <c r="A45" s="3" t="s">
        <v>60</v>
      </c>
      <c r="B45" s="3"/>
      <c r="C45" s="3"/>
      <c r="D45" s="6"/>
      <c r="E45" s="6"/>
      <c r="F45" s="6" t="str">
        <f>IF(SUM(D8:F8)&gt;$B$41,(-SUM(D8:F8)+$B$41)," ")</f>
        <v xml:space="preserve"> </v>
      </c>
      <c r="G45" s="6"/>
      <c r="H45" s="6"/>
      <c r="I45" s="6"/>
      <c r="J45" s="6"/>
      <c r="K45" s="68">
        <f>IF(SUM(D8:K8)&gt;$B$41,(-SUM(D8:K8)+$B$41)-SUM(D45:F45)," ")</f>
        <v>-59866.666666666657</v>
      </c>
      <c r="L45" s="68">
        <f>IF(SUM(D8:L8)&gt;$B$41,(-SUM(D8:L8)+$B$41)-SUM(D45:K45)," ")</f>
        <v>-16666.666666666657</v>
      </c>
      <c r="M45" s="68">
        <f>IF(SUM(D8:M8)&gt;$B$41,(-SUM(D8:M8)+$B$41)-SUM(D45:L45)," ")</f>
        <v>-16666.666666666657</v>
      </c>
      <c r="N45" s="6">
        <f>SUM(K45:M45)</f>
        <v>-93199.999999999971</v>
      </c>
      <c r="O45" s="6"/>
      <c r="P45" s="6"/>
      <c r="Q45" s="6"/>
      <c r="R45" s="6">
        <f>IF(SUM(D8:R8)&gt;$B$41,(-SUM(D8:R8)+$B$41)-SUM(D45:M45)," ")</f>
        <v>-116666.66666666666</v>
      </c>
      <c r="S45" s="6">
        <f>IF(SUM(D8:S8)&gt;$B$41,(-SUM(D8:S8)+$B$41)-SUM(D45:R45)," ")</f>
        <v>76533.333333333314</v>
      </c>
      <c r="T45" s="6">
        <f>IF(SUM(D8:T8)&gt;$B$41,(-SUM(D8:T8)+$B$41)-SUM(D45:S45)," ")</f>
        <v>-16666.666666666686</v>
      </c>
      <c r="U45" s="6">
        <f t="shared" si="31"/>
        <v>-56800.000000000029</v>
      </c>
      <c r="V45" s="6">
        <v>43209.03</v>
      </c>
      <c r="W45" s="7">
        <f t="shared" si="32"/>
        <v>-13590.97000000003</v>
      </c>
      <c r="X45" s="6"/>
      <c r="Y45" s="6">
        <f>IF(SUM(D8:Y8)&gt;$B$41,(-SUM(D8:Y8)+$B$41)-SUM(D45:T45)," ")</f>
        <v>-116666.66666666669</v>
      </c>
      <c r="Z45" s="6">
        <f>IF(SUM(D8:Z8)&gt;$B$41,(-SUM(D8:Z8)+$B$41)-SUM(D45:Y45)," ")</f>
        <v>10515.273333333374</v>
      </c>
      <c r="AA45" s="6">
        <f>IF(SUM(D8:AA8)&gt;$B$41,(-SUM(D8:AA8)+$B$41)-SUM(D45:Z45)," ")</f>
        <v>-16666.666666666686</v>
      </c>
      <c r="AB45" s="6">
        <f t="shared" si="33"/>
        <v>-122818.06</v>
      </c>
      <c r="AC45" s="6">
        <v>56000.01</v>
      </c>
      <c r="AD45" s="6">
        <f t="shared" si="34"/>
        <v>-178818.07</v>
      </c>
      <c r="AE45" s="6"/>
      <c r="AF45" s="6">
        <f t="shared" si="30"/>
        <v>-393200.00000000006</v>
      </c>
      <c r="AG45" s="6">
        <f>IF((SUM(D8:AA8)+AG8)&gt;$B$41,(-(SUM(D8:AA8)+AG8)+$B$41)-SUM(D45:AA45)," ")</f>
        <v>-6000</v>
      </c>
      <c r="AH45" s="3"/>
    </row>
    <row r="46" spans="1:34" s="1" customFormat="1">
      <c r="A46" s="3" t="s">
        <v>61</v>
      </c>
      <c r="B46" s="3"/>
      <c r="C46" s="3"/>
      <c r="D46" s="3"/>
      <c r="F46" s="6" t="str">
        <f>IF(SUM(D25:F25)&gt;$B$41,(-SUM(D25:F25)+$B$41)," ")</f>
        <v xml:space="preserve"> </v>
      </c>
      <c r="G46" s="6"/>
      <c r="H46" s="6"/>
      <c r="I46" s="6"/>
      <c r="J46" s="6"/>
      <c r="K46" s="68">
        <f>IF(SUM(D25:K25)&gt;$B$41,(-SUM(D25:K25)+$B$41)-SUM(D46:F46)," ")</f>
        <v>-15700</v>
      </c>
      <c r="L46" s="68">
        <f>IF(SUM(D25:L25)&gt;$B$41,(-SUM(D25:L25)+$B$41)-SUM(D46:K46)," ")</f>
        <v>-12250</v>
      </c>
      <c r="M46" s="68">
        <f>IF(SUM(D25:M25)&gt;$B$41,(-SUM(D25:M25)+$B$41)-SUM(D46:L46)," ")</f>
        <v>-12250</v>
      </c>
      <c r="N46" s="6">
        <f>SUM(K46:M46)</f>
        <v>-40200</v>
      </c>
      <c r="O46" s="6"/>
      <c r="P46" s="6"/>
      <c r="Q46" s="6"/>
      <c r="R46" s="6">
        <f>IF(SUM(D25:R25)&gt;$B$41,(-SUM(D25:R25)+$B$41)-SUM(D46:M46)," ")</f>
        <v>-85750</v>
      </c>
      <c r="S46" s="6">
        <f>IF(SUM(D25:S25)&gt;$B$41,(-SUM(D25:S25)+$B$41)-SUM(D46:R46)," ")</f>
        <v>27950</v>
      </c>
      <c r="T46" s="6">
        <f>IF(SUM(D25:T25)&gt;$B$41,(-SUM(D25:T25)+$B$41)-SUM(D46:S46)," ")</f>
        <v>-12250</v>
      </c>
      <c r="U46" s="6">
        <f t="shared" si="31"/>
        <v>-70050</v>
      </c>
      <c r="V46" s="6">
        <v>3450</v>
      </c>
      <c r="W46" s="6">
        <f>SUM(U46:V46)</f>
        <v>-66600</v>
      </c>
      <c r="X46" s="6"/>
      <c r="Y46" s="6">
        <f>IF(SUM(D25:Y25)&gt;$B$41,(-SUM(D25:Y25)+$B$41)-SUM(D46:T46)," ")</f>
        <v>-85750</v>
      </c>
      <c r="Z46" s="6">
        <f>IF(SUM(D25:Z25)&gt;$B$41,(-SUM(D25:Z25)+$B$41)-SUM(D46:Y46)," ")</f>
        <v>120950</v>
      </c>
      <c r="AA46" s="6">
        <f>IF(SUM(D25:AA25)&gt;$B$41,(-SUM(D25:AA25)+$B$41)-SUM(D46:Z46)," ")</f>
        <v>-12250</v>
      </c>
      <c r="AB46" s="6">
        <f t="shared" si="33"/>
        <v>22950</v>
      </c>
      <c r="AC46" s="6">
        <v>41150</v>
      </c>
      <c r="AD46" s="6">
        <f t="shared" si="34"/>
        <v>-18200</v>
      </c>
      <c r="AE46" s="6"/>
      <c r="AF46" s="6">
        <f t="shared" si="30"/>
        <v>-260700</v>
      </c>
      <c r="AG46" s="6">
        <f>IF((SUM(D25:AA25)+AG25)&gt;$B$41,(-(SUM(D25:AA25)+AG25)+$B$41)-SUM(D46:AA46)," ")</f>
        <v>-4410</v>
      </c>
      <c r="AH46" s="3"/>
    </row>
    <row r="47" spans="1:34" s="1" customFormat="1">
      <c r="A47" s="3" t="s">
        <v>62</v>
      </c>
      <c r="B47" s="3"/>
      <c r="C47" s="3"/>
      <c r="D47" s="3"/>
      <c r="F47" s="6" t="str">
        <f>IF(SUM(D12:F12)&gt;$B$41,(-SUM(D12:F12)+$B$41)," ")</f>
        <v xml:space="preserve"> </v>
      </c>
      <c r="G47" s="6"/>
      <c r="H47" s="6"/>
      <c r="I47" s="6"/>
      <c r="J47" s="6"/>
      <c r="K47" s="68" t="str">
        <f>IF(SUM(D12:K12)&gt;$B$41,(-SUM(D12:K12)+$B$41)-SUM(D47:F47)," ")</f>
        <v xml:space="preserve"> </v>
      </c>
      <c r="L47" s="68">
        <f>IF(SUM(D12:L12)&gt;$B$41,(-SUM(D12:L12)+$B$41)-SUM(D47:K47)," ")</f>
        <v>-7783.333333333343</v>
      </c>
      <c r="M47" s="68">
        <f>IF(SUM(D12:M12)&gt;$B$41,(-SUM(D12:M12)+$B$41)-SUM(D47:L47)," ")</f>
        <v>-10416.666666666672</v>
      </c>
      <c r="N47" s="6">
        <f>SUM(L47:M47)</f>
        <v>-18200.000000000015</v>
      </c>
      <c r="O47" s="6"/>
      <c r="P47" s="6"/>
      <c r="Q47" s="6"/>
      <c r="R47" s="6">
        <f>IF(SUM(D12:R12)&gt;$B$41,(-SUM(D12:R12)+$B$41)-SUM(D47:M47)," ")</f>
        <v>-72916.666666666642</v>
      </c>
      <c r="S47" s="6">
        <f>IF(SUM(D12:S12)&gt;$B$41,(-SUM(D12:S12)+$B$41)-SUM(D47:R47)," ")</f>
        <v>7783.3333333333576</v>
      </c>
      <c r="T47" s="6">
        <f>IF(SUM(D12:T12)&gt;$B$41,(-SUM(D12:T12)+$B$41)-SUM(D47:S47)," ")</f>
        <v>-10416.666666666657</v>
      </c>
      <c r="U47" s="6">
        <f t="shared" si="31"/>
        <v>-75549.999999999942</v>
      </c>
      <c r="V47" s="6"/>
      <c r="W47" s="6"/>
      <c r="X47" s="6"/>
      <c r="Y47" s="6">
        <f>IF(SUM(D12:Y12)&gt;$B$41,(-SUM(D12:Y12)+$B$41)-SUM(D47:T47)," ")</f>
        <v>-72916.666666666657</v>
      </c>
      <c r="Z47" s="6">
        <f>IF(SUM(D12:Z12)&gt;$B$41,(-SUM(D12:Z12)+$B$41)-SUM(D47:Y47)," ")</f>
        <v>65133.333333333256</v>
      </c>
      <c r="AA47" s="6">
        <f>IF(SUM(D12:AA12)&gt;$B$41,(-SUM(D12:AA12)+$B$41)-SUM(D47:Z47)," ")</f>
        <v>-10416.666666666686</v>
      </c>
      <c r="AB47" s="6">
        <f t="shared" si="33"/>
        <v>-18200.000000000087</v>
      </c>
      <c r="AC47" s="6">
        <v>22200.04</v>
      </c>
      <c r="AD47" s="6">
        <f t="shared" si="34"/>
        <v>-40400.040000000088</v>
      </c>
      <c r="AE47" s="6"/>
      <c r="AF47" s="6">
        <f t="shared" si="30"/>
        <v>-205700</v>
      </c>
      <c r="AG47" s="6">
        <f>IF((SUM(D12:AA12)+AG12)&gt;$B$41,(-(SUM(D12:AA12)+AG12)+$B$41)-SUM(D47:AA47)," ")</f>
        <v>-3750</v>
      </c>
      <c r="AH47" s="3"/>
    </row>
    <row r="48" spans="1:34" s="1" customFormat="1">
      <c r="A48" s="3" t="s">
        <v>63</v>
      </c>
      <c r="B48" s="3"/>
      <c r="C48" s="3"/>
      <c r="D48" s="3"/>
      <c r="F48" s="6" t="str">
        <f>IF(SUM(D16:F16)&gt;$B$41,(-SUM(D16:F16)+$B$41)," ")</f>
        <v xml:space="preserve"> </v>
      </c>
      <c r="G48" s="6"/>
      <c r="H48" s="6"/>
      <c r="I48" s="6"/>
      <c r="J48" s="6"/>
      <c r="K48" s="68">
        <f>IF(SUM(D16:K16)&gt;$B$41,(-SUM(D16:K16)+$B$41)-SUM(D48:F48)," ")</f>
        <v>-1533.3333333333285</v>
      </c>
      <c r="L48" s="68">
        <f>IF(SUM(D16:L16)&gt;$B$41,(-SUM(D16:L16)+$B$41)-SUM(D48:K48)," ")</f>
        <v>-10833.333333333328</v>
      </c>
      <c r="M48" s="68">
        <f>IF(SUM(D16:M16)&gt;$B$41,(-SUM(D16:M16)+$B$41)-SUM(D48:L48)," ")</f>
        <v>-10833.333333333328</v>
      </c>
      <c r="N48" s="6">
        <f>SUM(K48:M48)</f>
        <v>-23199.999999999985</v>
      </c>
      <c r="O48" s="6"/>
      <c r="P48" s="6"/>
      <c r="Q48" s="6"/>
      <c r="R48" s="6">
        <f>IF(SUM(D16:R16)&gt;$B$41,(-SUM(D16:R16)+$B$41)-SUM(D48:M48)," ")</f>
        <v>-75833.333333333358</v>
      </c>
      <c r="S48" s="6">
        <f>IF(SUM(D16:S16)&gt;$B$41,(-SUM(D16:S16)+$B$41)-SUM(D48:R48)," ")</f>
        <v>12366.666666666642</v>
      </c>
      <c r="T48" s="6">
        <f>IF(SUM(D16:T16)&gt;$B$41,(-SUM(D16:T16)+$B$41)-SUM(D48:S48)," ")</f>
        <v>-10833.333333333343</v>
      </c>
      <c r="U48" s="6">
        <f t="shared" si="31"/>
        <v>-74300.000000000058</v>
      </c>
      <c r="V48" s="6"/>
      <c r="W48" s="6"/>
      <c r="X48" s="6"/>
      <c r="Y48" s="6">
        <f>IF(SUM(D16:Y16)&gt;$B$41,(-SUM(D16:Y16)+$B$41)-SUM(D48:T48)," ")</f>
        <v>-75833.333333333343</v>
      </c>
      <c r="Z48" s="6">
        <f>IF(SUM(D16:Z16)&gt;$B$41,(-SUM(D16:Z16)+$B$41)-SUM(D48:Y48)," ")</f>
        <v>63466.666666666744</v>
      </c>
      <c r="AA48" s="6">
        <f>IF(SUM(D16:AA16)&gt;$B$41,(-SUM(D16:AA16)+$B$41)-SUM(D48:Z48)," ")</f>
        <v>-10833.333333333314</v>
      </c>
      <c r="AB48" s="6">
        <f t="shared" si="33"/>
        <v>-23199.999999999913</v>
      </c>
      <c r="AC48" s="6">
        <v>27199.96</v>
      </c>
      <c r="AD48" s="6">
        <f t="shared" si="34"/>
        <v>-50399.959999999912</v>
      </c>
      <c r="AE48" s="6"/>
      <c r="AF48" s="6">
        <f t="shared" si="30"/>
        <v>-218200</v>
      </c>
      <c r="AG48" s="6">
        <f>IF((SUM(D16:AA16)+AG16)&gt;$B$41,(-(SUM(D16:AA16)+AG16)+$B$41)-SUM(D48:AA48)," ")</f>
        <v>-3900</v>
      </c>
      <c r="AH48" s="3"/>
    </row>
    <row r="49" spans="1:34" s="1" customFormat="1">
      <c r="A49" s="3" t="s">
        <v>137</v>
      </c>
      <c r="B49" s="3"/>
      <c r="C49" s="3"/>
      <c r="D49" s="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>
        <v>4900</v>
      </c>
      <c r="AD49" s="6"/>
      <c r="AE49" s="6"/>
      <c r="AF49" s="6"/>
      <c r="AG49" s="6"/>
      <c r="AH49" s="3"/>
    </row>
    <row r="50" spans="1:34" s="1" customFormat="1">
      <c r="A50" s="3" t="s">
        <v>24</v>
      </c>
      <c r="B50" s="3"/>
      <c r="C50" s="3"/>
      <c r="D50" s="18">
        <f>-D38</f>
        <v>0</v>
      </c>
      <c r="E50" s="18">
        <f t="shared" ref="E50:AA50" si="35">-E38</f>
        <v>0</v>
      </c>
      <c r="F50" s="18">
        <f t="shared" si="35"/>
        <v>0</v>
      </c>
      <c r="G50" s="18">
        <f>SUM(D50:F50)</f>
        <v>0</v>
      </c>
      <c r="H50" s="18">
        <v>0</v>
      </c>
      <c r="I50" s="7">
        <f t="shared" ref="I50" si="36">SUM(G50-H50)</f>
        <v>0</v>
      </c>
      <c r="J50" s="18"/>
      <c r="K50" s="18">
        <f t="shared" si="35"/>
        <v>0</v>
      </c>
      <c r="L50" s="18">
        <f t="shared" si="35"/>
        <v>-16500</v>
      </c>
      <c r="M50" s="18">
        <f t="shared" si="35"/>
        <v>0</v>
      </c>
      <c r="N50" s="18">
        <f>SUM(K50:M50)</f>
        <v>-16500</v>
      </c>
      <c r="O50" s="18">
        <v>16500</v>
      </c>
      <c r="P50" s="18">
        <f>SUM(N50:O50)</f>
        <v>0</v>
      </c>
      <c r="Q50" s="18"/>
      <c r="R50" s="18">
        <f t="shared" si="35"/>
        <v>0</v>
      </c>
      <c r="S50" s="18">
        <f t="shared" si="35"/>
        <v>0</v>
      </c>
      <c r="T50" s="18">
        <f t="shared" si="35"/>
        <v>0</v>
      </c>
      <c r="U50" s="6">
        <f t="shared" si="31"/>
        <v>0</v>
      </c>
      <c r="V50" s="18"/>
      <c r="W50" s="18"/>
      <c r="X50" s="18"/>
      <c r="Y50" s="18">
        <f t="shared" si="35"/>
        <v>-68250</v>
      </c>
      <c r="Z50" s="18">
        <f t="shared" si="35"/>
        <v>-3750</v>
      </c>
      <c r="AA50" s="18">
        <f t="shared" si="35"/>
        <v>-3750</v>
      </c>
      <c r="AB50" s="6">
        <f t="shared" si="33"/>
        <v>-75750</v>
      </c>
      <c r="AC50" s="18">
        <v>9405</v>
      </c>
      <c r="AD50" s="6">
        <f t="shared" si="34"/>
        <v>-85155</v>
      </c>
      <c r="AE50" s="18"/>
      <c r="AF50" s="6">
        <f t="shared" si="30"/>
        <v>-92250</v>
      </c>
      <c r="AG50" s="6" t="str">
        <f>IF((SUM(D30:AA30)+AG30)&gt;$B$41,(-(SUM(D30:AA30)+AG30)+$B$41)-SUM(D50:AA50)," ")</f>
        <v xml:space="preserve"> </v>
      </c>
      <c r="AH50" s="3"/>
    </row>
    <row r="51" spans="1:34" s="1" customFormat="1">
      <c r="A51" s="3" t="s">
        <v>26</v>
      </c>
      <c r="B51" s="3"/>
      <c r="C51" s="3"/>
      <c r="D51" s="8">
        <f>SUM(D39:D50)</f>
        <v>199160.41666666666</v>
      </c>
      <c r="E51" s="8">
        <f>SUM(E39:E50)</f>
        <v>199160.41666666666</v>
      </c>
      <c r="F51" s="8">
        <f>SUM(F39:F50)</f>
        <v>180960.41666666666</v>
      </c>
      <c r="G51" s="8">
        <f>SUM(D51:F51)</f>
        <v>579281.25</v>
      </c>
      <c r="H51" s="8">
        <v>565131.09</v>
      </c>
      <c r="I51" s="8">
        <f>SUM(G51-H51)</f>
        <v>14150.160000000033</v>
      </c>
      <c r="J51" s="8"/>
      <c r="K51" s="8">
        <f>SUM(K39:K50)</f>
        <v>-277808.25</v>
      </c>
      <c r="L51" s="8">
        <f>SUM(L39:L50)</f>
        <v>390232.39666666655</v>
      </c>
      <c r="M51" s="8">
        <f>SUM(M39:M50)</f>
        <v>85827.083333333372</v>
      </c>
      <c r="N51" s="8">
        <f>SUM(N39:N50)</f>
        <v>155051.22999999998</v>
      </c>
      <c r="O51" s="8">
        <f>SUM(O39:O50)</f>
        <v>788342.32</v>
      </c>
      <c r="P51" s="8">
        <f>N51-O51</f>
        <v>-633291.09</v>
      </c>
      <c r="Q51" s="8"/>
      <c r="R51" s="8">
        <f t="shared" ref="R51:W51" si="37">SUM(R39:R50)</f>
        <v>-1197726.9166666665</v>
      </c>
      <c r="S51" s="8">
        <f t="shared" si="37"/>
        <v>1622175.1033333333</v>
      </c>
      <c r="T51" s="8">
        <f t="shared" si="37"/>
        <v>85827.083333333227</v>
      </c>
      <c r="U51" s="8">
        <f t="shared" si="37"/>
        <v>392075.27</v>
      </c>
      <c r="V51" s="8">
        <f t="shared" si="37"/>
        <v>950400.8</v>
      </c>
      <c r="W51" s="8">
        <f t="shared" si="37"/>
        <v>300242.52999999997</v>
      </c>
      <c r="X51" s="8"/>
      <c r="Y51" s="8">
        <f t="shared" ref="Y51:AD51" si="38">SUM(Y39:Y50)</f>
        <v>-594172.91666666663</v>
      </c>
      <c r="Z51" s="8">
        <f t="shared" si="38"/>
        <v>-361929.01666666707</v>
      </c>
      <c r="AA51" s="8">
        <f t="shared" si="38"/>
        <v>85827.083333333459</v>
      </c>
      <c r="AB51" s="8">
        <f t="shared" si="38"/>
        <v>-1071174.8500000001</v>
      </c>
      <c r="AC51" s="8">
        <f t="shared" si="38"/>
        <v>1189041.46</v>
      </c>
      <c r="AD51" s="8">
        <f t="shared" si="38"/>
        <v>-2226328.1633333336</v>
      </c>
      <c r="AE51" s="8"/>
      <c r="AF51" s="8">
        <f>SUM(AF39:AF50)</f>
        <v>-649341.46</v>
      </c>
      <c r="AG51" s="8">
        <f>SUM(AG39:AG50)</f>
        <v>-620384.25</v>
      </c>
      <c r="AH51" s="3"/>
    </row>
    <row r="52" spans="1:34" s="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s="1" customFormat="1">
      <c r="A53" s="2" t="s">
        <v>27</v>
      </c>
      <c r="B53" s="30">
        <v>6.2E-2</v>
      </c>
      <c r="C53" s="2"/>
      <c r="D53" s="6">
        <f t="shared" ref="D53:AA53" si="39">D51*$B$53</f>
        <v>12347.945833333333</v>
      </c>
      <c r="E53" s="6">
        <f t="shared" si="39"/>
        <v>12347.945833333333</v>
      </c>
      <c r="F53" s="6">
        <f t="shared" si="39"/>
        <v>11219.545833333332</v>
      </c>
      <c r="G53" s="6">
        <f>SUM(D53:F53)</f>
        <v>35915.4375</v>
      </c>
      <c r="H53" s="6">
        <v>35038.15</v>
      </c>
      <c r="I53" s="7">
        <f t="shared" ref="I53" si="40">SUM(G53-H53)</f>
        <v>877.28749999999854</v>
      </c>
      <c r="J53" s="6"/>
      <c r="K53" s="6">
        <f t="shared" si="39"/>
        <v>-17224.111499999999</v>
      </c>
      <c r="L53" s="6">
        <f t="shared" si="39"/>
        <v>24194.408593333326</v>
      </c>
      <c r="M53" s="6">
        <f t="shared" si="39"/>
        <v>5321.279166666669</v>
      </c>
      <c r="N53" s="6">
        <f>SUM(K53:M53)</f>
        <v>12291.576259999996</v>
      </c>
      <c r="O53" s="6">
        <v>24454.98</v>
      </c>
      <c r="P53" s="6">
        <f>N53-O53</f>
        <v>-12163.403740000003</v>
      </c>
      <c r="Q53" s="6"/>
      <c r="R53" s="6">
        <f t="shared" si="39"/>
        <v>-74259.068833333324</v>
      </c>
      <c r="S53" s="6">
        <f t="shared" si="39"/>
        <v>100574.85640666666</v>
      </c>
      <c r="T53" s="6">
        <f t="shared" si="39"/>
        <v>5321.2791666666599</v>
      </c>
      <c r="U53" s="6">
        <f>SUM(R53:T53)</f>
        <v>31637.066739999995</v>
      </c>
      <c r="V53" s="6">
        <v>16933.3</v>
      </c>
      <c r="W53" s="6">
        <f>U53-V53</f>
        <v>14703.766739999995</v>
      </c>
      <c r="X53" s="6"/>
      <c r="Y53" s="6">
        <f t="shared" si="39"/>
        <v>-36838.720833333333</v>
      </c>
      <c r="Z53" s="6">
        <f t="shared" si="39"/>
        <v>-22439.599033333358</v>
      </c>
      <c r="AA53" s="6">
        <f t="shared" si="39"/>
        <v>5321.2791666666744</v>
      </c>
      <c r="AB53" s="6">
        <f>SUM(Y53:AA53)</f>
        <v>-53957.040700000012</v>
      </c>
      <c r="AC53" s="6">
        <v>14662.32</v>
      </c>
      <c r="AD53" s="6">
        <f t="shared" ref="AD53:AD54" si="41">SUM(AB53-AC53)</f>
        <v>-68619.360700000019</v>
      </c>
      <c r="AE53" s="6"/>
      <c r="AF53" s="6">
        <f>SUM(D53:AA53)</f>
        <v>185575.20079999993</v>
      </c>
      <c r="AG53" s="6">
        <f>AG51*$B$53</f>
        <v>-38463.823499999999</v>
      </c>
      <c r="AH53" s="3"/>
    </row>
    <row r="54" spans="1:34" s="1" customFormat="1">
      <c r="A54" s="2" t="s">
        <v>28</v>
      </c>
      <c r="B54" s="31">
        <v>1.4500000000000001E-2</v>
      </c>
      <c r="C54" s="2"/>
      <c r="D54" s="13">
        <f t="shared" ref="D54:AB54" si="42">D39*$B$54</f>
        <v>2887.8260416666667</v>
      </c>
      <c r="E54" s="13">
        <f t="shared" si="42"/>
        <v>2887.8260416666667</v>
      </c>
      <c r="F54" s="13">
        <f t="shared" si="42"/>
        <v>2887.8260416666667</v>
      </c>
      <c r="G54" s="13">
        <f>SUM(D54:F54)</f>
        <v>8663.4781249999996</v>
      </c>
      <c r="H54" s="13">
        <v>8506.49</v>
      </c>
      <c r="I54" s="13">
        <f>SUM(G54-H54)</f>
        <v>156.98812499999985</v>
      </c>
      <c r="J54" s="13"/>
      <c r="K54" s="13">
        <f t="shared" si="42"/>
        <v>2887.8260416666667</v>
      </c>
      <c r="L54" s="13">
        <f t="shared" si="42"/>
        <v>11878.464041666666</v>
      </c>
      <c r="M54" s="13">
        <f t="shared" si="42"/>
        <v>2887.8260416666667</v>
      </c>
      <c r="N54" s="13">
        <f>SUM(K54:M54)</f>
        <v>17654.116125</v>
      </c>
      <c r="O54" s="13">
        <v>13110.8</v>
      </c>
      <c r="P54" s="13">
        <f>N54-O54</f>
        <v>4543.3161250000012</v>
      </c>
      <c r="Q54" s="13"/>
      <c r="R54" s="13">
        <f t="shared" si="42"/>
        <v>2887.8260416666667</v>
      </c>
      <c r="S54" s="13">
        <f t="shared" si="42"/>
        <v>2887.8260416666667</v>
      </c>
      <c r="T54" s="13">
        <f t="shared" si="42"/>
        <v>2887.8260416666667</v>
      </c>
      <c r="U54" s="13">
        <f>SUM(R54:T54)</f>
        <v>8663.4781249999996</v>
      </c>
      <c r="V54" s="13">
        <v>8451.57</v>
      </c>
      <c r="W54" s="13">
        <f>U54-V54</f>
        <v>211.90812499999993</v>
      </c>
      <c r="X54" s="13"/>
      <c r="Y54" s="13">
        <f t="shared" si="42"/>
        <v>3877.4510416666662</v>
      </c>
      <c r="Z54" s="13">
        <f t="shared" si="42"/>
        <v>2942.2010416666667</v>
      </c>
      <c r="AA54" s="13">
        <f t="shared" si="42"/>
        <v>2942.2010416666667</v>
      </c>
      <c r="AB54" s="13">
        <f t="shared" si="42"/>
        <v>9761.8531249999996</v>
      </c>
      <c r="AC54" s="13">
        <v>9522.3799999999992</v>
      </c>
      <c r="AD54" s="6">
        <f t="shared" si="41"/>
        <v>239.47312500000044</v>
      </c>
      <c r="AE54" s="15"/>
      <c r="AF54" s="6">
        <f>SUM(D54:AA54)</f>
        <v>114705.07024999996</v>
      </c>
      <c r="AG54" s="13">
        <f>AG39*$B$54</f>
        <v>835.42837500000007</v>
      </c>
      <c r="AH54" s="3"/>
    </row>
    <row r="55" spans="1:34" s="1" customFormat="1">
      <c r="A55" s="2" t="s">
        <v>29</v>
      </c>
      <c r="B55" s="2"/>
      <c r="C55" s="2"/>
      <c r="D55" s="11">
        <f t="shared" ref="D55:AG55" si="43">SUM(D53:D54)</f>
        <v>15235.771875</v>
      </c>
      <c r="E55" s="11">
        <f t="shared" si="43"/>
        <v>15235.771875</v>
      </c>
      <c r="F55" s="11">
        <f t="shared" si="43"/>
        <v>14107.371874999999</v>
      </c>
      <c r="G55" s="11">
        <f t="shared" si="43"/>
        <v>44578.915625000001</v>
      </c>
      <c r="H55" s="11">
        <f t="shared" si="43"/>
        <v>43544.639999999999</v>
      </c>
      <c r="I55" s="11">
        <f t="shared" si="43"/>
        <v>1034.2756249999984</v>
      </c>
      <c r="J55" s="11"/>
      <c r="K55" s="11">
        <f t="shared" si="43"/>
        <v>-14336.285458333332</v>
      </c>
      <c r="L55" s="11">
        <f t="shared" si="43"/>
        <v>36072.872634999992</v>
      </c>
      <c r="M55" s="11">
        <f t="shared" si="43"/>
        <v>8209.1052083333361</v>
      </c>
      <c r="N55" s="11">
        <f t="shared" si="43"/>
        <v>29945.692384999995</v>
      </c>
      <c r="O55" s="11">
        <f t="shared" si="43"/>
        <v>37565.78</v>
      </c>
      <c r="P55" s="11">
        <f t="shared" si="43"/>
        <v>-7620.0876150000022</v>
      </c>
      <c r="Q55" s="11"/>
      <c r="R55" s="11">
        <f t="shared" si="43"/>
        <v>-71371.242791666664</v>
      </c>
      <c r="S55" s="11">
        <f t="shared" si="43"/>
        <v>103462.68244833332</v>
      </c>
      <c r="T55" s="11">
        <f t="shared" si="43"/>
        <v>8209.105208333327</v>
      </c>
      <c r="U55" s="11">
        <f t="shared" si="43"/>
        <v>40300.544864999996</v>
      </c>
      <c r="V55" s="11">
        <f t="shared" si="43"/>
        <v>25384.87</v>
      </c>
      <c r="W55" s="11">
        <f t="shared" si="43"/>
        <v>14915.674864999995</v>
      </c>
      <c r="X55" s="11"/>
      <c r="Y55" s="11">
        <f t="shared" si="43"/>
        <v>-32961.269791666666</v>
      </c>
      <c r="Z55" s="11">
        <f t="shared" si="43"/>
        <v>-19497.39799166669</v>
      </c>
      <c r="AA55" s="11">
        <f t="shared" si="43"/>
        <v>8263.4802083333416</v>
      </c>
      <c r="AB55" s="11">
        <f t="shared" si="43"/>
        <v>-44195.187575000011</v>
      </c>
      <c r="AC55" s="11">
        <f>SUM(AC53:AC54)</f>
        <v>24184.699999999997</v>
      </c>
      <c r="AD55" s="60">
        <f>SUM(AD53:AD54)</f>
        <v>-68379.887575000015</v>
      </c>
      <c r="AE55" s="11"/>
      <c r="AF55" s="10">
        <f t="shared" si="43"/>
        <v>300280.27104999986</v>
      </c>
      <c r="AG55" s="10">
        <f t="shared" si="43"/>
        <v>-37628.395124999995</v>
      </c>
      <c r="AH55" s="3"/>
    </row>
    <row r="56" spans="1:34" s="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12"/>
      <c r="AH56" s="3"/>
    </row>
    <row r="57" spans="1:34" s="1" customFormat="1">
      <c r="A57" s="3" t="s">
        <v>6</v>
      </c>
      <c r="B57" s="3"/>
      <c r="C57" s="3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>
        <f>SUM(AF55:AG55)</f>
        <v>262651.87592499988</v>
      </c>
      <c r="AH57" s="3"/>
    </row>
    <row r="58" spans="1:34" s="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s="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58"/>
      <c r="AD59" s="3"/>
      <c r="AE59" s="3"/>
      <c r="AF59" s="3"/>
      <c r="AG59" s="3"/>
      <c r="AH59" s="3"/>
    </row>
    <row r="60" spans="1:34" s="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s="1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s="1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s="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s="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s="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s="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s="1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s="1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s="1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s="1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s="1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s="1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s="1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s="1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s="1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s="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s="1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s="1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s="1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s="1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s="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s="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s="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s="1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s="1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s="1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s="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s="1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s="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s="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s="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s="1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s="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s="1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s="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s="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s="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s="1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s="1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s="1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s="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s="1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s="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s="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s="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s="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s="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s="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s="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s="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s="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s="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s="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s="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s="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s="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s="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s="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s="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s="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s="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s="1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s="1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s="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s="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s="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s="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s="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s="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s="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s="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s="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s="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s="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s="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s="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s="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s="1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s="1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s="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s="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s="1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s="1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s="1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s="1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s="1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s="1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s="1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s="1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s="1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s="1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s="1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s="1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s="1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s="1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s="1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s="1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s="1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s="1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s="1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s="1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s="1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s="1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s="1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s="1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s="1" customForma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s="1" customForma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s="1" customForma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s="1" customForma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s="1" customForma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s="1" customForma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s="1" customForma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s="1" customForma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s="1" customForma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s="1" customForma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s="1" customForma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s="1" customForma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s="1" customForma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s="1" customForma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s="1" customForma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s="1" customForma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s="1" customForma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s="1" customForma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s="1" customForma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s="1" customForma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</sheetData>
  <mergeCells count="1">
    <mergeCell ref="D1:AA1"/>
  </mergeCells>
  <pageMargins left="0.5" right="0" top="0.3" bottom="0.3" header="0.5" footer="0.25"/>
  <pageSetup paperSize="5" scale="68" fitToHeight="2" orientation="landscape" r:id="rId1"/>
  <headerFooter alignWithMargins="0">
    <oddFooter>&amp;L&amp;10&amp;Z&amp;F&amp;A&amp;R&amp;10February 1, 2012</oddFoot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view="pageLayout" zoomScaleNormal="100" workbookViewId="0">
      <selection activeCell="C11" sqref="C11"/>
    </sheetView>
  </sheetViews>
  <sheetFormatPr defaultRowHeight="15"/>
  <cols>
    <col min="1" max="1" width="2.5546875" style="12" customWidth="1"/>
    <col min="2" max="2" width="0.88671875" style="12" customWidth="1"/>
    <col min="3" max="16384" width="8.88671875" style="3"/>
  </cols>
  <sheetData>
    <row r="1" spans="1:3">
      <c r="A1" s="12">
        <v>1</v>
      </c>
      <c r="C1" s="3" t="s">
        <v>103</v>
      </c>
    </row>
    <row r="2" spans="1:3">
      <c r="A2" s="12">
        <v>2</v>
      </c>
      <c r="C2" s="3" t="s">
        <v>104</v>
      </c>
    </row>
    <row r="3" spans="1:3">
      <c r="A3" s="12">
        <v>3</v>
      </c>
      <c r="C3" s="3" t="s">
        <v>106</v>
      </c>
    </row>
    <row r="4" spans="1:3">
      <c r="A4" s="12">
        <v>4</v>
      </c>
      <c r="C4" s="3" t="s">
        <v>120</v>
      </c>
    </row>
    <row r="5" spans="1:3">
      <c r="A5" s="12">
        <v>5</v>
      </c>
      <c r="C5" s="3" t="s">
        <v>108</v>
      </c>
    </row>
    <row r="6" spans="1:3">
      <c r="A6" s="12">
        <v>6</v>
      </c>
      <c r="C6" s="3" t="s">
        <v>112</v>
      </c>
    </row>
    <row r="7" spans="1:3">
      <c r="A7" s="12">
        <v>7</v>
      </c>
      <c r="C7" s="3" t="s">
        <v>107</v>
      </c>
    </row>
    <row r="8" spans="1:3">
      <c r="A8" s="12">
        <v>8</v>
      </c>
      <c r="C8" s="3" t="s">
        <v>115</v>
      </c>
    </row>
    <row r="9" spans="1:3">
      <c r="A9" s="12">
        <v>9</v>
      </c>
      <c r="C9" s="3" t="s">
        <v>109</v>
      </c>
    </row>
    <row r="10" spans="1:3">
      <c r="A10" s="12">
        <v>10</v>
      </c>
      <c r="C10" s="3" t="s">
        <v>110</v>
      </c>
    </row>
    <row r="11" spans="1:3">
      <c r="A11" s="12">
        <v>11</v>
      </c>
      <c r="C11" s="3" t="s">
        <v>111</v>
      </c>
    </row>
    <row r="12" spans="1:3">
      <c r="A12" s="12">
        <v>12</v>
      </c>
      <c r="C12" s="3" t="s">
        <v>113</v>
      </c>
    </row>
    <row r="13" spans="1:3">
      <c r="A13" s="12">
        <v>13</v>
      </c>
      <c r="C13" s="3" t="s">
        <v>116</v>
      </c>
    </row>
    <row r="14" spans="1:3">
      <c r="A14" s="12">
        <v>14</v>
      </c>
      <c r="C14" s="3" t="s">
        <v>114</v>
      </c>
    </row>
    <row r="15" spans="1:3">
      <c r="A15" s="12">
        <v>15</v>
      </c>
      <c r="C15" s="3" t="s">
        <v>118</v>
      </c>
    </row>
    <row r="16" spans="1:3">
      <c r="A16" s="12">
        <v>16</v>
      </c>
      <c r="C16" s="3" t="s">
        <v>122</v>
      </c>
    </row>
    <row r="17" spans="1:3">
      <c r="A17" s="12">
        <v>17</v>
      </c>
      <c r="C17" s="3" t="s">
        <v>119</v>
      </c>
    </row>
    <row r="18" spans="1:3">
      <c r="A18" s="12">
        <v>18</v>
      </c>
      <c r="C18" s="3" t="s">
        <v>121</v>
      </c>
    </row>
    <row r="19" spans="1:3">
      <c r="A19" s="12">
        <v>19</v>
      </c>
      <c r="C19" s="3" t="s">
        <v>125</v>
      </c>
    </row>
    <row r="20" spans="1:3">
      <c r="A20" s="12">
        <v>20</v>
      </c>
      <c r="C20" s="3" t="s">
        <v>126</v>
      </c>
    </row>
    <row r="21" spans="1:3">
      <c r="A21" s="12">
        <v>21</v>
      </c>
      <c r="C21" s="3" t="s">
        <v>128</v>
      </c>
    </row>
    <row r="22" spans="1:3">
      <c r="A22" s="12">
        <v>22</v>
      </c>
      <c r="C22" s="3" t="s">
        <v>130</v>
      </c>
    </row>
    <row r="23" spans="1:3">
      <c r="A23" s="12">
        <v>23</v>
      </c>
      <c r="C23" s="3" t="s">
        <v>134</v>
      </c>
    </row>
    <row r="24" spans="1:3">
      <c r="A24" s="12">
        <v>24</v>
      </c>
      <c r="C24" s="3" t="s">
        <v>133</v>
      </c>
    </row>
    <row r="25" spans="1:3">
      <c r="A25" s="12" t="s">
        <v>124</v>
      </c>
      <c r="C25" s="3" t="s">
        <v>136</v>
      </c>
    </row>
  </sheetData>
  <pageMargins left="0.7" right="0.7" top="0.75" bottom="0.75" header="0.3" footer="0.3"/>
  <pageSetup orientation="landscape" r:id="rId1"/>
  <headerFooter>
    <oddFooter>&amp;L&amp;10&amp;Z&amp;F&amp;A&amp;R&amp;10October 26,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view="pageLayout" topLeftCell="A17" zoomScaleNormal="100" workbookViewId="0">
      <selection activeCell="B29" sqref="B29"/>
    </sheetView>
  </sheetViews>
  <sheetFormatPr defaultRowHeight="15"/>
  <cols>
    <col min="1" max="1" width="13.44140625" style="3" customWidth="1"/>
    <col min="2" max="2" width="14" style="3" customWidth="1"/>
    <col min="3" max="3" width="13.5546875" style="3" customWidth="1"/>
    <col min="4" max="4" width="12.88671875" style="3" customWidth="1"/>
    <col min="5" max="5" width="7.5546875" style="3" customWidth="1"/>
    <col min="6" max="6" width="10.6640625" style="3" customWidth="1"/>
    <col min="7" max="16384" width="8.88671875" style="3"/>
  </cols>
  <sheetData>
    <row r="1" spans="1:6">
      <c r="A1" s="42" t="s">
        <v>87</v>
      </c>
    </row>
    <row r="3" spans="1:6">
      <c r="A3" s="43" t="s">
        <v>88</v>
      </c>
      <c r="B3" s="44" t="s">
        <v>89</v>
      </c>
      <c r="C3" s="44" t="s">
        <v>90</v>
      </c>
      <c r="D3" s="44" t="s">
        <v>91</v>
      </c>
    </row>
    <row r="4" spans="1:6">
      <c r="A4" s="3" t="s">
        <v>92</v>
      </c>
      <c r="B4" s="17">
        <v>125000.01</v>
      </c>
      <c r="C4" s="17">
        <v>106800</v>
      </c>
      <c r="D4" s="17">
        <f>B4-C4</f>
        <v>18200.009999999995</v>
      </c>
      <c r="F4" s="17">
        <f>D4</f>
        <v>18200.009999999995</v>
      </c>
    </row>
    <row r="7" spans="1:6">
      <c r="A7" s="42" t="s">
        <v>93</v>
      </c>
    </row>
    <row r="9" spans="1:6">
      <c r="A9" s="43" t="s">
        <v>88</v>
      </c>
      <c r="B9" s="44" t="s">
        <v>89</v>
      </c>
      <c r="C9" s="44" t="s">
        <v>90</v>
      </c>
      <c r="D9" s="44" t="s">
        <v>91</v>
      </c>
    </row>
    <row r="10" spans="1:6">
      <c r="A10" s="3" t="s">
        <v>92</v>
      </c>
      <c r="B10" s="17">
        <v>551772</v>
      </c>
      <c r="C10" s="17">
        <v>106800</v>
      </c>
      <c r="D10" s="17">
        <f>B10-C10</f>
        <v>444972</v>
      </c>
    </row>
    <row r="11" spans="1:6">
      <c r="A11" s="3" t="s">
        <v>94</v>
      </c>
      <c r="B11" s="17">
        <f>75000*2</f>
        <v>150000</v>
      </c>
      <c r="C11" s="17">
        <v>106800</v>
      </c>
      <c r="D11" s="17">
        <f>B11-C11</f>
        <v>43200</v>
      </c>
    </row>
    <row r="12" spans="1:6">
      <c r="A12" s="3" t="s">
        <v>101</v>
      </c>
      <c r="B12" s="48">
        <f>64500*2</f>
        <v>129000</v>
      </c>
      <c r="C12" s="17">
        <v>106800</v>
      </c>
      <c r="D12" s="50">
        <f>B12-C12</f>
        <v>22200</v>
      </c>
    </row>
    <row r="13" spans="1:6">
      <c r="B13" s="48"/>
      <c r="C13" s="17"/>
      <c r="D13" s="17">
        <f>SUM(D10:D12)</f>
        <v>510372</v>
      </c>
      <c r="F13" s="17">
        <f>D13</f>
        <v>510372</v>
      </c>
    </row>
    <row r="15" spans="1:6">
      <c r="A15" s="42" t="s">
        <v>95</v>
      </c>
    </row>
    <row r="17" spans="1:6">
      <c r="A17" s="43" t="s">
        <v>88</v>
      </c>
      <c r="B17" s="44" t="s">
        <v>89</v>
      </c>
      <c r="C17" s="44" t="s">
        <v>90</v>
      </c>
      <c r="D17" s="44" t="s">
        <v>91</v>
      </c>
    </row>
    <row r="18" spans="1:6">
      <c r="A18" s="3" t="s">
        <v>92</v>
      </c>
      <c r="B18" s="17">
        <v>125000</v>
      </c>
      <c r="C18" s="47">
        <v>106800</v>
      </c>
      <c r="D18" s="17">
        <f>B18-C18</f>
        <v>18200</v>
      </c>
    </row>
    <row r="19" spans="1:6">
      <c r="A19" s="3" t="s">
        <v>94</v>
      </c>
      <c r="B19" s="17">
        <v>225000</v>
      </c>
      <c r="C19" s="47">
        <v>106800</v>
      </c>
      <c r="D19" s="17">
        <f>B19-C19</f>
        <v>118200</v>
      </c>
    </row>
    <row r="20" spans="1:6">
      <c r="A20" s="3" t="s">
        <v>101</v>
      </c>
      <c r="B20" s="17">
        <v>64500</v>
      </c>
      <c r="C20" s="47">
        <v>106800</v>
      </c>
      <c r="D20" s="17">
        <f>B20-C20</f>
        <v>-42300</v>
      </c>
    </row>
    <row r="21" spans="1:6">
      <c r="A21" s="45" t="s">
        <v>96</v>
      </c>
      <c r="B21" s="46">
        <f>16667.67*9</f>
        <v>150009.02999999997</v>
      </c>
      <c r="C21" s="47">
        <v>106800</v>
      </c>
      <c r="D21" s="47">
        <f>B21-C21</f>
        <v>43209.02999999997</v>
      </c>
    </row>
    <row r="22" spans="1:6">
      <c r="A22" s="45" t="s">
        <v>98</v>
      </c>
      <c r="B22" s="53">
        <f>12250*9</f>
        <v>110250</v>
      </c>
      <c r="C22" s="47">
        <v>106800</v>
      </c>
      <c r="D22" s="50">
        <f>B22-C22</f>
        <v>3450</v>
      </c>
    </row>
    <row r="23" spans="1:6">
      <c r="D23" s="17">
        <f>SUM(D18:D22)</f>
        <v>140759.02999999997</v>
      </c>
      <c r="F23" s="17">
        <f>D23</f>
        <v>140759.02999999997</v>
      </c>
    </row>
    <row r="25" spans="1:6">
      <c r="A25" s="42" t="s">
        <v>97</v>
      </c>
    </row>
    <row r="27" spans="1:6">
      <c r="A27" s="43" t="s">
        <v>88</v>
      </c>
      <c r="B27" s="44" t="s">
        <v>89</v>
      </c>
      <c r="C27" s="44" t="s">
        <v>90</v>
      </c>
      <c r="D27" s="44" t="s">
        <v>91</v>
      </c>
    </row>
    <row r="28" spans="1:6">
      <c r="A28" s="3" t="s">
        <v>92</v>
      </c>
      <c r="B28" s="17">
        <v>125000.01</v>
      </c>
      <c r="C28" s="47">
        <v>106800</v>
      </c>
      <c r="D28" s="17">
        <f t="shared" ref="D28:D35" si="0">B28-C28</f>
        <v>18200.009999999995</v>
      </c>
      <c r="E28" s="64"/>
      <c r="F28" s="64"/>
    </row>
    <row r="29" spans="1:6">
      <c r="A29" s="3" t="s">
        <v>94</v>
      </c>
      <c r="B29" s="17">
        <f>FICA!$AI$24</f>
        <v>307700</v>
      </c>
      <c r="C29" s="47">
        <v>106800</v>
      </c>
      <c r="D29" s="17">
        <f t="shared" si="0"/>
        <v>200900</v>
      </c>
    </row>
    <row r="30" spans="1:6">
      <c r="A30" s="3" t="s">
        <v>101</v>
      </c>
      <c r="B30" s="17">
        <v>72300</v>
      </c>
      <c r="C30" s="47">
        <v>106800</v>
      </c>
      <c r="D30" s="17">
        <f>B30-C30</f>
        <v>-34500</v>
      </c>
    </row>
    <row r="31" spans="1:6">
      <c r="A31" s="45" t="s">
        <v>96</v>
      </c>
      <c r="B31" s="47">
        <v>56000.01</v>
      </c>
      <c r="C31" s="47">
        <v>106800</v>
      </c>
      <c r="D31" s="17">
        <f t="shared" si="0"/>
        <v>-50799.99</v>
      </c>
    </row>
    <row r="32" spans="1:6">
      <c r="A32" s="3" t="s">
        <v>98</v>
      </c>
      <c r="B32" s="49">
        <v>41150</v>
      </c>
      <c r="C32" s="47">
        <v>106800</v>
      </c>
      <c r="D32" s="17">
        <f t="shared" si="0"/>
        <v>-65650</v>
      </c>
    </row>
    <row r="33" spans="1:6">
      <c r="A33" s="3" t="s">
        <v>100</v>
      </c>
      <c r="B33" s="17">
        <v>133999.96</v>
      </c>
      <c r="C33" s="47">
        <v>106800</v>
      </c>
      <c r="D33" s="17">
        <f>B33-C33</f>
        <v>27199.959999999992</v>
      </c>
    </row>
    <row r="34" spans="1:6">
      <c r="A34" s="3" t="s">
        <v>99</v>
      </c>
      <c r="B34" s="17">
        <v>129000.04</v>
      </c>
      <c r="C34" s="47">
        <v>106800</v>
      </c>
      <c r="D34" s="17">
        <f t="shared" si="0"/>
        <v>22200.039999999994</v>
      </c>
    </row>
    <row r="35" spans="1:6">
      <c r="A35" s="3" t="s">
        <v>117</v>
      </c>
      <c r="B35" s="17">
        <v>111700</v>
      </c>
      <c r="C35" s="17">
        <v>106800</v>
      </c>
      <c r="D35" s="50">
        <f t="shared" si="0"/>
        <v>4900</v>
      </c>
    </row>
    <row r="36" spans="1:6">
      <c r="D36" s="17">
        <f>SUM(D28:D35)</f>
        <v>122450.02</v>
      </c>
      <c r="F36" s="50">
        <f>D36</f>
        <v>122450.02</v>
      </c>
    </row>
    <row r="37" spans="1:6" ht="15.75" thickBot="1">
      <c r="A37" s="65" t="s">
        <v>135</v>
      </c>
      <c r="B37" s="65"/>
      <c r="F37" s="59">
        <f>SUM(F4:F36)</f>
        <v>791781.06</v>
      </c>
    </row>
    <row r="38" spans="1:6" ht="15.75" thickTop="1"/>
  </sheetData>
  <mergeCells count="2">
    <mergeCell ref="E28:F28"/>
    <mergeCell ref="A37:B37"/>
  </mergeCells>
  <pageMargins left="0.7" right="0.7" top="0.75" bottom="0.75" header="0.3" footer="0.3"/>
  <pageSetup orientation="portrait" r:id="rId1"/>
  <headerFooter>
    <oddFooter>&amp;L&amp;10&amp;Z&amp;F&amp;A&amp;R&amp;10January 19, 2012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BX139"/>
  <sheetViews>
    <sheetView defaultGridColor="0" colorId="22" zoomScale="75" zoomScaleNormal="87" workbookViewId="0">
      <selection activeCell="F11" sqref="F11"/>
    </sheetView>
  </sheetViews>
  <sheetFormatPr defaultColWidth="9.77734375" defaultRowHeight="15"/>
  <cols>
    <col min="1" max="1" width="22.33203125" style="1" customWidth="1"/>
    <col min="2" max="3" width="11.88671875" style="1" customWidth="1"/>
    <col min="4" max="4" width="12.33203125" style="1" customWidth="1"/>
    <col min="5" max="8" width="10.21875" style="1" bestFit="1" customWidth="1"/>
    <col min="9" max="9" width="10.44140625" style="1" bestFit="1" customWidth="1"/>
    <col min="10" max="14" width="10.21875" style="1" bestFit="1" customWidth="1"/>
    <col min="15" max="15" width="10.77734375" style="1" bestFit="1" customWidth="1"/>
    <col min="16" max="16" width="13.21875" style="1" customWidth="1"/>
    <col min="17" max="17" width="11.5546875" style="1" bestFit="1" customWidth="1"/>
    <col min="18" max="18" width="11.77734375" style="1" customWidth="1"/>
    <col min="19" max="19" width="12.6640625" style="1" customWidth="1"/>
    <col min="20" max="76" width="9.77734375" style="1"/>
  </cols>
  <sheetData>
    <row r="1" spans="1:19" ht="15.7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3"/>
    </row>
    <row r="2" spans="1:19" ht="15.7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3"/>
    </row>
    <row r="3" spans="1:19" ht="15.75">
      <c r="A3" s="66" t="s">
        <v>81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3"/>
    </row>
    <row r="4" spans="1:19" ht="15.75">
      <c r="A4" s="66" t="s">
        <v>66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3"/>
    </row>
    <row r="5" spans="1:19" ht="15.75">
      <c r="A5" s="67" t="s">
        <v>78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3"/>
    </row>
    <row r="6" spans="1:19" ht="15.75">
      <c r="A6" s="3"/>
      <c r="B6" s="3"/>
      <c r="C6" s="3"/>
      <c r="D6" s="3"/>
      <c r="E6" s="3"/>
      <c r="F6" s="3"/>
      <c r="G6" s="3"/>
      <c r="H6" s="2" t="s">
        <v>69</v>
      </c>
      <c r="I6" s="28">
        <v>1.5</v>
      </c>
      <c r="K6" s="2"/>
      <c r="L6" s="3"/>
      <c r="M6" s="3"/>
      <c r="N6" s="3"/>
      <c r="O6" s="3"/>
      <c r="P6" s="3"/>
      <c r="Q6" s="3"/>
      <c r="R6" s="3"/>
      <c r="S6" s="3"/>
    </row>
    <row r="7" spans="1:19" ht="15.75">
      <c r="A7" s="3"/>
      <c r="B7" s="3"/>
      <c r="C7" s="3"/>
      <c r="D7" s="2" t="s">
        <v>5</v>
      </c>
      <c r="E7" s="3"/>
      <c r="F7" s="3"/>
      <c r="G7" s="3"/>
      <c r="H7" s="2" t="s">
        <v>70</v>
      </c>
      <c r="I7" s="28">
        <v>3</v>
      </c>
      <c r="K7" s="3"/>
      <c r="L7" s="3"/>
      <c r="M7" s="3"/>
      <c r="N7" s="3"/>
      <c r="O7" s="3"/>
      <c r="P7" s="3"/>
      <c r="Q7" s="2" t="s">
        <v>2</v>
      </c>
      <c r="R7" s="2" t="s">
        <v>4</v>
      </c>
      <c r="S7" s="3"/>
    </row>
    <row r="8" spans="1:19" ht="30">
      <c r="A8" s="3"/>
      <c r="B8" s="3"/>
      <c r="C8" s="29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2" t="s">
        <v>5</v>
      </c>
      <c r="R8" s="24" t="s">
        <v>52</v>
      </c>
      <c r="S8" s="3"/>
    </row>
    <row r="9" spans="1:19" ht="15.75">
      <c r="A9" s="5" t="s">
        <v>7</v>
      </c>
      <c r="B9" s="5">
        <v>2010</v>
      </c>
      <c r="C9" s="5">
        <v>2011</v>
      </c>
      <c r="D9" s="5">
        <v>2011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  <c r="O9" s="5" t="s">
        <v>18</v>
      </c>
      <c r="P9" s="5" t="s">
        <v>19</v>
      </c>
      <c r="Q9" s="5" t="s">
        <v>3</v>
      </c>
      <c r="R9" s="29">
        <f>+I7*0.01</f>
        <v>0.03</v>
      </c>
      <c r="S9" s="3"/>
    </row>
    <row r="10" spans="1:19" ht="15.75">
      <c r="S10" s="3"/>
    </row>
    <row r="11" spans="1:19" ht="15.75">
      <c r="A11" s="3" t="s">
        <v>30</v>
      </c>
      <c r="B11" s="22">
        <v>38600</v>
      </c>
      <c r="C11" s="22">
        <v>3400</v>
      </c>
      <c r="D11" s="22">
        <f t="shared" ref="D11:D17" si="0">B11+C11</f>
        <v>42000</v>
      </c>
      <c r="E11" s="7">
        <f t="shared" ref="E11:E32" si="1">+$D11/12</f>
        <v>3500</v>
      </c>
      <c r="F11" s="7">
        <f t="shared" ref="F11:P24" si="2">+$D11/12</f>
        <v>3500</v>
      </c>
      <c r="G11" s="7">
        <f t="shared" si="2"/>
        <v>3500</v>
      </c>
      <c r="H11" s="7">
        <f t="shared" si="2"/>
        <v>3500</v>
      </c>
      <c r="I11" s="7">
        <f t="shared" si="2"/>
        <v>3500</v>
      </c>
      <c r="J11" s="7">
        <f t="shared" si="2"/>
        <v>3500</v>
      </c>
      <c r="K11" s="7">
        <f t="shared" si="2"/>
        <v>3500</v>
      </c>
      <c r="L11" s="7">
        <f t="shared" si="2"/>
        <v>3500</v>
      </c>
      <c r="M11" s="7">
        <f t="shared" si="2"/>
        <v>3500</v>
      </c>
      <c r="N11" s="7">
        <f t="shared" si="2"/>
        <v>3500</v>
      </c>
      <c r="O11" s="7">
        <f t="shared" si="2"/>
        <v>3500</v>
      </c>
      <c r="P11" s="7">
        <f t="shared" si="2"/>
        <v>3500</v>
      </c>
      <c r="Q11" s="6">
        <f t="shared" ref="Q11:Q32" si="3">SUM(E11:P11)</f>
        <v>42000</v>
      </c>
      <c r="R11" s="14">
        <f t="shared" ref="R11:R32" si="4">Q11*$R$9</f>
        <v>1260</v>
      </c>
      <c r="S11" s="3"/>
    </row>
    <row r="12" spans="1:19" ht="15.75">
      <c r="A12" s="3" t="s">
        <v>39</v>
      </c>
      <c r="B12" s="22">
        <v>24850</v>
      </c>
      <c r="C12" s="22">
        <v>350</v>
      </c>
      <c r="D12" s="22">
        <f t="shared" si="0"/>
        <v>25200</v>
      </c>
      <c r="E12" s="7">
        <f t="shared" si="1"/>
        <v>2100</v>
      </c>
      <c r="F12" s="7">
        <f t="shared" si="2"/>
        <v>2100</v>
      </c>
      <c r="G12" s="7">
        <f t="shared" si="2"/>
        <v>2100</v>
      </c>
      <c r="H12" s="7">
        <f t="shared" si="2"/>
        <v>2100</v>
      </c>
      <c r="I12" s="7">
        <f t="shared" si="2"/>
        <v>2100</v>
      </c>
      <c r="J12" s="7">
        <f t="shared" si="2"/>
        <v>2100</v>
      </c>
      <c r="K12" s="7">
        <f t="shared" si="2"/>
        <v>2100</v>
      </c>
      <c r="L12" s="7">
        <f t="shared" si="2"/>
        <v>2100</v>
      </c>
      <c r="M12" s="7">
        <f t="shared" si="2"/>
        <v>2100</v>
      </c>
      <c r="N12" s="7">
        <f t="shared" si="2"/>
        <v>2100</v>
      </c>
      <c r="O12" s="7">
        <f t="shared" si="2"/>
        <v>2100</v>
      </c>
      <c r="P12" s="7">
        <f t="shared" si="2"/>
        <v>2100</v>
      </c>
      <c r="Q12" s="6">
        <f t="shared" si="3"/>
        <v>25200</v>
      </c>
      <c r="R12" s="14">
        <f t="shared" si="4"/>
        <v>756</v>
      </c>
      <c r="S12" s="3"/>
    </row>
    <row r="13" spans="1:19" ht="15.75">
      <c r="A13" s="3" t="s">
        <v>82</v>
      </c>
      <c r="B13" s="22">
        <v>53800</v>
      </c>
      <c r="C13" s="22">
        <v>1200</v>
      </c>
      <c r="D13" s="22">
        <f t="shared" si="0"/>
        <v>55000</v>
      </c>
      <c r="E13" s="7">
        <f t="shared" si="1"/>
        <v>4583.333333333333</v>
      </c>
      <c r="F13" s="7">
        <f t="shared" si="2"/>
        <v>4583.333333333333</v>
      </c>
      <c r="G13" s="7">
        <f t="shared" si="2"/>
        <v>4583.333333333333</v>
      </c>
      <c r="H13" s="7">
        <f t="shared" si="2"/>
        <v>4583.333333333333</v>
      </c>
      <c r="I13" s="7">
        <f t="shared" si="2"/>
        <v>4583.333333333333</v>
      </c>
      <c r="J13" s="7">
        <f t="shared" si="2"/>
        <v>4583.333333333333</v>
      </c>
      <c r="K13" s="7">
        <f t="shared" si="2"/>
        <v>4583.333333333333</v>
      </c>
      <c r="L13" s="7">
        <f t="shared" si="2"/>
        <v>4583.333333333333</v>
      </c>
      <c r="M13" s="7">
        <f t="shared" si="2"/>
        <v>4583.333333333333</v>
      </c>
      <c r="N13" s="7">
        <f t="shared" si="2"/>
        <v>4583.333333333333</v>
      </c>
      <c r="O13" s="7">
        <f t="shared" si="2"/>
        <v>4583.333333333333</v>
      </c>
      <c r="P13" s="7">
        <f t="shared" si="2"/>
        <v>4583.333333333333</v>
      </c>
      <c r="Q13" s="6">
        <f t="shared" si="3"/>
        <v>55000.000000000007</v>
      </c>
      <c r="R13" s="14">
        <f t="shared" si="4"/>
        <v>1650.0000000000002</v>
      </c>
      <c r="S13" s="3"/>
    </row>
    <row r="14" spans="1:19" ht="15.75">
      <c r="A14" s="3" t="s">
        <v>34</v>
      </c>
      <c r="B14" s="22">
        <v>66000</v>
      </c>
      <c r="C14" s="22">
        <v>1000</v>
      </c>
      <c r="D14" s="22">
        <f t="shared" si="0"/>
        <v>67000</v>
      </c>
      <c r="E14" s="7">
        <f t="shared" si="1"/>
        <v>5583.333333333333</v>
      </c>
      <c r="F14" s="7">
        <f t="shared" si="2"/>
        <v>5583.333333333333</v>
      </c>
      <c r="G14" s="7">
        <f t="shared" si="2"/>
        <v>5583.333333333333</v>
      </c>
      <c r="H14" s="7">
        <f t="shared" si="2"/>
        <v>5583.333333333333</v>
      </c>
      <c r="I14" s="7">
        <f t="shared" si="2"/>
        <v>5583.333333333333</v>
      </c>
      <c r="J14" s="7">
        <f t="shared" si="2"/>
        <v>5583.333333333333</v>
      </c>
      <c r="K14" s="7">
        <f t="shared" si="2"/>
        <v>5583.333333333333</v>
      </c>
      <c r="L14" s="7">
        <f t="shared" si="2"/>
        <v>5583.333333333333</v>
      </c>
      <c r="M14" s="7">
        <f t="shared" si="2"/>
        <v>5583.333333333333</v>
      </c>
      <c r="N14" s="7">
        <f t="shared" si="2"/>
        <v>5583.333333333333</v>
      </c>
      <c r="O14" s="7">
        <f t="shared" si="2"/>
        <v>5583.333333333333</v>
      </c>
      <c r="P14" s="7">
        <f t="shared" si="2"/>
        <v>5583.333333333333</v>
      </c>
      <c r="Q14" s="6">
        <f t="shared" si="3"/>
        <v>67000.000000000015</v>
      </c>
      <c r="R14" s="14">
        <f t="shared" si="4"/>
        <v>2010.0000000000005</v>
      </c>
      <c r="S14" s="3"/>
    </row>
    <row r="15" spans="1:19" ht="15.75">
      <c r="A15" s="3" t="s">
        <v>35</v>
      </c>
      <c r="B15" s="22">
        <v>69100</v>
      </c>
      <c r="C15" s="22">
        <v>5900</v>
      </c>
      <c r="D15" s="22">
        <f t="shared" si="0"/>
        <v>75000</v>
      </c>
      <c r="E15" s="7">
        <f t="shared" si="1"/>
        <v>6250</v>
      </c>
      <c r="F15" s="7">
        <f t="shared" si="2"/>
        <v>6250</v>
      </c>
      <c r="G15" s="7">
        <f t="shared" si="2"/>
        <v>6250</v>
      </c>
      <c r="H15" s="7">
        <f t="shared" si="2"/>
        <v>6250</v>
      </c>
      <c r="I15" s="7">
        <f t="shared" si="2"/>
        <v>6250</v>
      </c>
      <c r="J15" s="7">
        <f t="shared" si="2"/>
        <v>6250</v>
      </c>
      <c r="K15" s="7">
        <f t="shared" si="2"/>
        <v>6250</v>
      </c>
      <c r="L15" s="7">
        <f t="shared" si="2"/>
        <v>6250</v>
      </c>
      <c r="M15" s="7">
        <f t="shared" si="2"/>
        <v>6250</v>
      </c>
      <c r="N15" s="7">
        <f t="shared" si="2"/>
        <v>6250</v>
      </c>
      <c r="O15" s="7">
        <f t="shared" si="2"/>
        <v>6250</v>
      </c>
      <c r="P15" s="7">
        <f t="shared" si="2"/>
        <v>6250</v>
      </c>
      <c r="Q15" s="6">
        <f t="shared" si="3"/>
        <v>75000</v>
      </c>
      <c r="R15" s="14">
        <f t="shared" si="4"/>
        <v>2250</v>
      </c>
      <c r="S15" s="3"/>
    </row>
    <row r="16" spans="1:19" ht="15.75">
      <c r="A16" s="3" t="s">
        <v>40</v>
      </c>
      <c r="B16" s="22">
        <v>186800</v>
      </c>
      <c r="C16" s="22">
        <v>13200</v>
      </c>
      <c r="D16" s="22">
        <f t="shared" si="0"/>
        <v>200000</v>
      </c>
      <c r="E16" s="7">
        <f t="shared" si="1"/>
        <v>16666.666666666668</v>
      </c>
      <c r="F16" s="7">
        <f t="shared" si="2"/>
        <v>16666.666666666668</v>
      </c>
      <c r="G16" s="7">
        <f t="shared" si="2"/>
        <v>16666.666666666668</v>
      </c>
      <c r="H16" s="7">
        <f t="shared" si="2"/>
        <v>16666.666666666668</v>
      </c>
      <c r="I16" s="7">
        <f t="shared" si="2"/>
        <v>16666.666666666668</v>
      </c>
      <c r="J16" s="7">
        <f t="shared" si="2"/>
        <v>16666.666666666668</v>
      </c>
      <c r="K16" s="7">
        <f t="shared" si="2"/>
        <v>16666.666666666668</v>
      </c>
      <c r="L16" s="7">
        <f t="shared" si="2"/>
        <v>16666.666666666668</v>
      </c>
      <c r="M16" s="7">
        <f t="shared" si="2"/>
        <v>16666.666666666668</v>
      </c>
      <c r="N16" s="7">
        <f t="shared" si="2"/>
        <v>16666.666666666668</v>
      </c>
      <c r="O16" s="7">
        <f t="shared" si="2"/>
        <v>16666.666666666668</v>
      </c>
      <c r="P16" s="7">
        <f t="shared" si="2"/>
        <v>16666.666666666668</v>
      </c>
      <c r="Q16" s="6">
        <f t="shared" si="3"/>
        <v>199999.99999999997</v>
      </c>
      <c r="R16" s="14">
        <f t="shared" si="4"/>
        <v>5999.9999999999991</v>
      </c>
      <c r="S16" s="3"/>
    </row>
    <row r="17" spans="1:19" ht="15.75">
      <c r="A17" s="3" t="s">
        <v>36</v>
      </c>
      <c r="B17" s="22">
        <v>500000</v>
      </c>
      <c r="C17" s="22">
        <v>0</v>
      </c>
      <c r="D17" s="22">
        <f t="shared" si="0"/>
        <v>500000</v>
      </c>
      <c r="E17" s="7">
        <f t="shared" si="1"/>
        <v>41666.666666666664</v>
      </c>
      <c r="F17" s="7">
        <f t="shared" si="2"/>
        <v>41666.666666666664</v>
      </c>
      <c r="G17" s="7">
        <f t="shared" si="2"/>
        <v>41666.666666666664</v>
      </c>
      <c r="H17" s="7">
        <f t="shared" si="2"/>
        <v>41666.666666666664</v>
      </c>
      <c r="I17" s="7">
        <f t="shared" si="2"/>
        <v>41666.666666666664</v>
      </c>
      <c r="J17" s="7">
        <f t="shared" si="2"/>
        <v>41666.666666666664</v>
      </c>
      <c r="K17" s="7">
        <f t="shared" si="2"/>
        <v>41666.666666666664</v>
      </c>
      <c r="L17" s="7">
        <f t="shared" si="2"/>
        <v>41666.666666666664</v>
      </c>
      <c r="M17" s="7">
        <f t="shared" si="2"/>
        <v>41666.666666666664</v>
      </c>
      <c r="N17" s="7">
        <f t="shared" si="2"/>
        <v>41666.666666666664</v>
      </c>
      <c r="O17" s="7">
        <f t="shared" si="2"/>
        <v>41666.666666666664</v>
      </c>
      <c r="P17" s="7">
        <f t="shared" si="2"/>
        <v>41666.666666666664</v>
      </c>
      <c r="Q17" s="6">
        <f t="shared" si="3"/>
        <v>500000.00000000006</v>
      </c>
      <c r="R17" s="14"/>
      <c r="S17" s="3"/>
    </row>
    <row r="18" spans="1:19" ht="15.75">
      <c r="A18" s="3" t="s">
        <v>57</v>
      </c>
      <c r="B18" s="22"/>
      <c r="C18" s="22"/>
      <c r="D18" s="22"/>
      <c r="E18" s="7">
        <f t="shared" si="1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26">
        <f>230332+18240+53200</f>
        <v>301772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6">
        <f t="shared" si="3"/>
        <v>301772</v>
      </c>
      <c r="R18" s="14"/>
      <c r="S18" s="3"/>
    </row>
    <row r="19" spans="1:19" ht="15.75">
      <c r="A19" s="3" t="s">
        <v>41</v>
      </c>
      <c r="B19" s="22">
        <v>23875</v>
      </c>
      <c r="C19" s="22">
        <v>350</v>
      </c>
      <c r="D19" s="22">
        <f t="shared" ref="D19:D24" si="5">B19+C19</f>
        <v>24225</v>
      </c>
      <c r="E19" s="7">
        <f t="shared" si="1"/>
        <v>2018.75</v>
      </c>
      <c r="F19" s="7">
        <f t="shared" si="2"/>
        <v>2018.75</v>
      </c>
      <c r="G19" s="7">
        <f t="shared" si="2"/>
        <v>2018.75</v>
      </c>
      <c r="H19" s="7">
        <f t="shared" si="2"/>
        <v>2018.75</v>
      </c>
      <c r="I19" s="7">
        <f t="shared" si="2"/>
        <v>2018.75</v>
      </c>
      <c r="J19" s="7">
        <f t="shared" si="2"/>
        <v>2018.75</v>
      </c>
      <c r="K19" s="7">
        <f t="shared" si="2"/>
        <v>2018.75</v>
      </c>
      <c r="L19" s="7">
        <f t="shared" si="2"/>
        <v>2018.75</v>
      </c>
      <c r="M19" s="7">
        <f t="shared" si="2"/>
        <v>2018.75</v>
      </c>
      <c r="N19" s="7">
        <f t="shared" si="2"/>
        <v>2018.75</v>
      </c>
      <c r="O19" s="7">
        <f t="shared" si="2"/>
        <v>2018.75</v>
      </c>
      <c r="P19" s="7">
        <f t="shared" si="2"/>
        <v>2018.75</v>
      </c>
      <c r="Q19" s="6">
        <f t="shared" si="3"/>
        <v>24225</v>
      </c>
      <c r="R19" s="14">
        <f t="shared" si="4"/>
        <v>726.75</v>
      </c>
      <c r="S19" s="3"/>
    </row>
    <row r="20" spans="1:19" ht="15.75">
      <c r="A20" s="3" t="s">
        <v>31</v>
      </c>
      <c r="B20" s="22">
        <v>122800</v>
      </c>
      <c r="C20" s="22">
        <v>2200</v>
      </c>
      <c r="D20" s="22">
        <f t="shared" si="5"/>
        <v>125000</v>
      </c>
      <c r="E20" s="7">
        <f t="shared" si="1"/>
        <v>10416.666666666666</v>
      </c>
      <c r="F20" s="7">
        <f t="shared" si="2"/>
        <v>10416.666666666666</v>
      </c>
      <c r="G20" s="7">
        <f t="shared" si="2"/>
        <v>10416.666666666666</v>
      </c>
      <c r="H20" s="7">
        <f t="shared" si="2"/>
        <v>10416.666666666666</v>
      </c>
      <c r="I20" s="7">
        <f t="shared" si="2"/>
        <v>10416.666666666666</v>
      </c>
      <c r="J20" s="7">
        <f t="shared" si="2"/>
        <v>10416.666666666666</v>
      </c>
      <c r="K20" s="7">
        <f t="shared" si="2"/>
        <v>10416.666666666666</v>
      </c>
      <c r="L20" s="7">
        <f t="shared" si="2"/>
        <v>10416.666666666666</v>
      </c>
      <c r="M20" s="7">
        <f t="shared" si="2"/>
        <v>10416.666666666666</v>
      </c>
      <c r="N20" s="7">
        <f t="shared" si="2"/>
        <v>10416.666666666666</v>
      </c>
      <c r="O20" s="7">
        <f t="shared" si="2"/>
        <v>10416.666666666666</v>
      </c>
      <c r="P20" s="7">
        <f t="shared" si="2"/>
        <v>10416.666666666666</v>
      </c>
      <c r="Q20" s="6">
        <f t="shared" si="3"/>
        <v>125000.00000000001</v>
      </c>
      <c r="R20" s="14">
        <f t="shared" si="4"/>
        <v>3750.0000000000005</v>
      </c>
      <c r="S20" s="3"/>
    </row>
    <row r="21" spans="1:19" ht="15.75">
      <c r="A21" s="3" t="s">
        <v>48</v>
      </c>
      <c r="B21" s="22">
        <v>99500</v>
      </c>
      <c r="C21" s="22">
        <v>8500</v>
      </c>
      <c r="D21" s="22">
        <f t="shared" si="5"/>
        <v>108000</v>
      </c>
      <c r="E21" s="7">
        <f t="shared" si="1"/>
        <v>9000</v>
      </c>
      <c r="F21" s="7">
        <f t="shared" si="2"/>
        <v>9000</v>
      </c>
      <c r="G21" s="7">
        <f t="shared" si="2"/>
        <v>9000</v>
      </c>
      <c r="H21" s="7">
        <f t="shared" si="2"/>
        <v>9000</v>
      </c>
      <c r="I21" s="7">
        <f t="shared" si="2"/>
        <v>9000</v>
      </c>
      <c r="J21" s="7">
        <f t="shared" si="2"/>
        <v>9000</v>
      </c>
      <c r="K21" s="7">
        <f t="shared" si="2"/>
        <v>9000</v>
      </c>
      <c r="L21" s="7">
        <f t="shared" si="2"/>
        <v>9000</v>
      </c>
      <c r="M21" s="7">
        <f t="shared" si="2"/>
        <v>9000</v>
      </c>
      <c r="N21" s="7">
        <f t="shared" si="2"/>
        <v>9000</v>
      </c>
      <c r="O21" s="7">
        <f t="shared" si="2"/>
        <v>9000</v>
      </c>
      <c r="P21" s="7">
        <f t="shared" si="2"/>
        <v>9000</v>
      </c>
      <c r="Q21" s="6">
        <f t="shared" si="3"/>
        <v>108000</v>
      </c>
      <c r="R21" s="14">
        <f t="shared" si="4"/>
        <v>3240</v>
      </c>
      <c r="S21" s="3"/>
    </row>
    <row r="22" spans="1:19" ht="15.75">
      <c r="A22" s="3" t="s">
        <v>46</v>
      </c>
      <c r="B22" s="22">
        <v>34600</v>
      </c>
      <c r="C22" s="22">
        <v>500</v>
      </c>
      <c r="D22" s="22">
        <f t="shared" si="5"/>
        <v>35100</v>
      </c>
      <c r="E22" s="7">
        <f t="shared" si="1"/>
        <v>2925</v>
      </c>
      <c r="F22" s="7">
        <f t="shared" si="2"/>
        <v>2925</v>
      </c>
      <c r="G22" s="7">
        <f t="shared" si="2"/>
        <v>2925</v>
      </c>
      <c r="H22" s="7">
        <f t="shared" si="2"/>
        <v>2925</v>
      </c>
      <c r="I22" s="7">
        <f t="shared" si="2"/>
        <v>2925</v>
      </c>
      <c r="J22" s="7">
        <f t="shared" si="2"/>
        <v>2925</v>
      </c>
      <c r="K22" s="7">
        <f t="shared" si="2"/>
        <v>2925</v>
      </c>
      <c r="L22" s="7">
        <f t="shared" si="2"/>
        <v>2925</v>
      </c>
      <c r="M22" s="7">
        <f t="shared" si="2"/>
        <v>2925</v>
      </c>
      <c r="N22" s="7">
        <f t="shared" si="2"/>
        <v>2925</v>
      </c>
      <c r="O22" s="7">
        <f t="shared" si="2"/>
        <v>2925</v>
      </c>
      <c r="P22" s="7">
        <f t="shared" si="2"/>
        <v>2925</v>
      </c>
      <c r="Q22" s="6">
        <f t="shared" si="3"/>
        <v>35100</v>
      </c>
      <c r="R22" s="14">
        <f t="shared" si="4"/>
        <v>1053</v>
      </c>
      <c r="S22" s="3"/>
    </row>
    <row r="23" spans="1:19" ht="15.75">
      <c r="A23" s="3" t="s">
        <v>42</v>
      </c>
      <c r="B23" s="22">
        <v>126900</v>
      </c>
      <c r="C23" s="22">
        <v>3100</v>
      </c>
      <c r="D23" s="22">
        <f t="shared" si="5"/>
        <v>130000</v>
      </c>
      <c r="E23" s="7">
        <f t="shared" si="1"/>
        <v>10833.333333333334</v>
      </c>
      <c r="F23" s="7">
        <f t="shared" si="2"/>
        <v>10833.333333333334</v>
      </c>
      <c r="G23" s="7">
        <f t="shared" si="2"/>
        <v>10833.333333333334</v>
      </c>
      <c r="H23" s="7">
        <f t="shared" si="2"/>
        <v>10833.333333333334</v>
      </c>
      <c r="I23" s="7">
        <f t="shared" si="2"/>
        <v>10833.333333333334</v>
      </c>
      <c r="J23" s="7">
        <f t="shared" si="2"/>
        <v>10833.333333333334</v>
      </c>
      <c r="K23" s="7">
        <f t="shared" si="2"/>
        <v>10833.333333333334</v>
      </c>
      <c r="L23" s="7">
        <f t="shared" si="2"/>
        <v>10833.333333333334</v>
      </c>
      <c r="M23" s="7">
        <f t="shared" si="2"/>
        <v>10833.333333333334</v>
      </c>
      <c r="N23" s="7">
        <f t="shared" si="2"/>
        <v>10833.333333333334</v>
      </c>
      <c r="O23" s="7">
        <f t="shared" si="2"/>
        <v>10833.333333333334</v>
      </c>
      <c r="P23" s="7">
        <f t="shared" si="2"/>
        <v>10833.333333333334</v>
      </c>
      <c r="Q23" s="6">
        <f t="shared" si="3"/>
        <v>129999.99999999999</v>
      </c>
      <c r="R23" s="14">
        <f t="shared" si="4"/>
        <v>3899.9999999999995</v>
      </c>
      <c r="S23" s="3"/>
    </row>
    <row r="24" spans="1:19" ht="15.75">
      <c r="A24" s="3" t="s">
        <v>32</v>
      </c>
      <c r="B24" s="22">
        <v>67000</v>
      </c>
      <c r="C24" s="22">
        <v>1000</v>
      </c>
      <c r="D24" s="22">
        <f t="shared" si="5"/>
        <v>68000</v>
      </c>
      <c r="E24" s="7">
        <f t="shared" si="1"/>
        <v>5666.666666666667</v>
      </c>
      <c r="F24" s="7">
        <f t="shared" si="2"/>
        <v>5666.666666666667</v>
      </c>
      <c r="G24" s="7">
        <f t="shared" si="2"/>
        <v>5666.666666666667</v>
      </c>
      <c r="H24" s="7">
        <f t="shared" si="2"/>
        <v>5666.666666666667</v>
      </c>
      <c r="I24" s="7">
        <f t="shared" si="2"/>
        <v>5666.666666666667</v>
      </c>
      <c r="J24" s="7">
        <f t="shared" si="2"/>
        <v>5666.666666666667</v>
      </c>
      <c r="K24" s="7">
        <f t="shared" si="2"/>
        <v>5666.666666666667</v>
      </c>
      <c r="L24" s="7">
        <f t="shared" si="2"/>
        <v>5666.666666666667</v>
      </c>
      <c r="M24" s="7">
        <f t="shared" si="2"/>
        <v>5666.666666666667</v>
      </c>
      <c r="N24" s="7">
        <f t="shared" si="2"/>
        <v>5666.666666666667</v>
      </c>
      <c r="O24" s="7">
        <f t="shared" si="2"/>
        <v>5666.666666666667</v>
      </c>
      <c r="P24" s="7">
        <f t="shared" si="2"/>
        <v>5666.666666666667</v>
      </c>
      <c r="Q24" s="6">
        <f t="shared" si="3"/>
        <v>67999.999999999985</v>
      </c>
      <c r="R24" s="14">
        <f t="shared" si="4"/>
        <v>2039.9999999999995</v>
      </c>
      <c r="S24" s="3"/>
    </row>
    <row r="25" spans="1:19" ht="15.75">
      <c r="A25" s="3" t="s">
        <v>49</v>
      </c>
      <c r="B25" s="22">
        <v>52800</v>
      </c>
      <c r="C25" s="22">
        <v>0</v>
      </c>
      <c r="D25" s="22">
        <v>0</v>
      </c>
      <c r="E25" s="7">
        <f t="shared" si="1"/>
        <v>0</v>
      </c>
      <c r="F25" s="7">
        <f t="shared" ref="F25:P32" si="6">+$D25/12</f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0</v>
      </c>
      <c r="K25" s="7">
        <f t="shared" si="6"/>
        <v>0</v>
      </c>
      <c r="L25" s="7">
        <f t="shared" si="6"/>
        <v>0</v>
      </c>
      <c r="M25" s="7">
        <f t="shared" si="6"/>
        <v>0</v>
      </c>
      <c r="N25" s="7">
        <f t="shared" si="6"/>
        <v>0</v>
      </c>
      <c r="O25" s="7">
        <f t="shared" si="6"/>
        <v>0</v>
      </c>
      <c r="P25" s="7">
        <f t="shared" si="6"/>
        <v>0</v>
      </c>
      <c r="Q25" s="6">
        <f t="shared" si="3"/>
        <v>0</v>
      </c>
      <c r="R25" s="14">
        <f t="shared" si="4"/>
        <v>0</v>
      </c>
      <c r="S25" s="3"/>
    </row>
    <row r="26" spans="1:19" ht="15.75">
      <c r="A26" s="3" t="s">
        <v>71</v>
      </c>
      <c r="B26" s="22">
        <v>253700</v>
      </c>
      <c r="C26" s="22">
        <v>4300</v>
      </c>
      <c r="D26" s="22">
        <f t="shared" ref="D26:D32" si="7">B26+C26</f>
        <v>258000</v>
      </c>
      <c r="E26" s="7">
        <f t="shared" si="1"/>
        <v>21500</v>
      </c>
      <c r="F26" s="7">
        <f t="shared" si="6"/>
        <v>21500</v>
      </c>
      <c r="G26" s="7">
        <f t="shared" si="6"/>
        <v>21500</v>
      </c>
      <c r="H26" s="7">
        <f t="shared" si="6"/>
        <v>21500</v>
      </c>
      <c r="I26" s="7">
        <f t="shared" si="6"/>
        <v>21500</v>
      </c>
      <c r="J26" s="7">
        <f t="shared" si="6"/>
        <v>21500</v>
      </c>
      <c r="K26" s="7">
        <f t="shared" si="6"/>
        <v>21500</v>
      </c>
      <c r="L26" s="7">
        <f t="shared" si="6"/>
        <v>21500</v>
      </c>
      <c r="M26" s="7">
        <f t="shared" si="6"/>
        <v>21500</v>
      </c>
      <c r="N26" s="7">
        <f t="shared" si="6"/>
        <v>21500</v>
      </c>
      <c r="O26" s="7">
        <f t="shared" si="6"/>
        <v>21500</v>
      </c>
      <c r="P26" s="7">
        <f t="shared" si="6"/>
        <v>21500</v>
      </c>
      <c r="Q26" s="6">
        <f t="shared" si="3"/>
        <v>258000</v>
      </c>
      <c r="R26" s="14">
        <f t="shared" si="4"/>
        <v>7740</v>
      </c>
      <c r="S26" s="3"/>
    </row>
    <row r="27" spans="1:19" ht="15.75">
      <c r="A27" s="3" t="s">
        <v>79</v>
      </c>
      <c r="B27" s="22">
        <v>42000</v>
      </c>
      <c r="C27" s="22">
        <v>2000</v>
      </c>
      <c r="D27" s="22">
        <f t="shared" si="7"/>
        <v>44000</v>
      </c>
      <c r="E27" s="7">
        <f>+$D27/12</f>
        <v>3666.6666666666665</v>
      </c>
      <c r="F27" s="7">
        <f t="shared" si="6"/>
        <v>3666.6666666666665</v>
      </c>
      <c r="G27" s="7">
        <f t="shared" si="6"/>
        <v>3666.6666666666665</v>
      </c>
      <c r="H27" s="7">
        <f t="shared" si="6"/>
        <v>3666.6666666666665</v>
      </c>
      <c r="I27" s="7">
        <f t="shared" si="6"/>
        <v>3666.6666666666665</v>
      </c>
      <c r="J27" s="7">
        <f t="shared" si="6"/>
        <v>3666.6666666666665</v>
      </c>
      <c r="K27" s="7">
        <f t="shared" si="6"/>
        <v>3666.6666666666665</v>
      </c>
      <c r="L27" s="7">
        <f t="shared" si="6"/>
        <v>3666.6666666666665</v>
      </c>
      <c r="M27" s="7">
        <f t="shared" si="6"/>
        <v>3666.6666666666665</v>
      </c>
      <c r="N27" s="7">
        <f t="shared" si="6"/>
        <v>3666.6666666666665</v>
      </c>
      <c r="O27" s="7">
        <f t="shared" si="6"/>
        <v>3666.6666666666665</v>
      </c>
      <c r="P27" s="7">
        <f t="shared" si="6"/>
        <v>3666.6666666666665</v>
      </c>
      <c r="Q27" s="7">
        <f>SUM(E27:P27)</f>
        <v>43999.999999999993</v>
      </c>
      <c r="R27" s="14">
        <f>Q27*$R$9</f>
        <v>1319.9999999999998</v>
      </c>
      <c r="S27" s="3"/>
    </row>
    <row r="28" spans="1:19" ht="15.75">
      <c r="A28" s="3" t="s">
        <v>50</v>
      </c>
      <c r="B28" s="22">
        <v>51800</v>
      </c>
      <c r="C28" s="22">
        <v>2200</v>
      </c>
      <c r="D28" s="22">
        <f t="shared" si="7"/>
        <v>54000</v>
      </c>
      <c r="E28" s="7">
        <f>+$D28/12</f>
        <v>4500</v>
      </c>
      <c r="F28" s="7">
        <f t="shared" si="6"/>
        <v>4500</v>
      </c>
      <c r="G28" s="7">
        <f t="shared" si="6"/>
        <v>4500</v>
      </c>
      <c r="H28" s="7">
        <f t="shared" si="6"/>
        <v>4500</v>
      </c>
      <c r="I28" s="7">
        <f t="shared" si="6"/>
        <v>4500</v>
      </c>
      <c r="J28" s="7">
        <f t="shared" si="6"/>
        <v>4500</v>
      </c>
      <c r="K28" s="7">
        <f t="shared" si="6"/>
        <v>4500</v>
      </c>
      <c r="L28" s="7">
        <f t="shared" si="6"/>
        <v>4500</v>
      </c>
      <c r="M28" s="7">
        <f t="shared" si="6"/>
        <v>4500</v>
      </c>
      <c r="N28" s="7">
        <f t="shared" si="6"/>
        <v>4500</v>
      </c>
      <c r="O28" s="7">
        <f t="shared" si="6"/>
        <v>4500</v>
      </c>
      <c r="P28" s="7">
        <f t="shared" si="6"/>
        <v>4500</v>
      </c>
      <c r="Q28" s="7">
        <f>SUM(E28:P28)</f>
        <v>54000</v>
      </c>
      <c r="R28" s="14">
        <f>Q28*$R$9</f>
        <v>1620</v>
      </c>
      <c r="S28" s="3"/>
    </row>
    <row r="29" spans="1:19" ht="15.75">
      <c r="A29" s="3" t="s">
        <v>47</v>
      </c>
      <c r="B29" s="22">
        <v>87300</v>
      </c>
      <c r="C29" s="22">
        <v>2700</v>
      </c>
      <c r="D29" s="22">
        <f t="shared" si="7"/>
        <v>90000</v>
      </c>
      <c r="E29" s="7">
        <f>+$D29/12</f>
        <v>7500</v>
      </c>
      <c r="F29" s="7">
        <f t="shared" si="6"/>
        <v>7500</v>
      </c>
      <c r="G29" s="7">
        <f t="shared" si="6"/>
        <v>7500</v>
      </c>
      <c r="H29" s="7">
        <f t="shared" si="6"/>
        <v>7500</v>
      </c>
      <c r="I29" s="7">
        <f t="shared" si="6"/>
        <v>7500</v>
      </c>
      <c r="J29" s="7">
        <f t="shared" si="6"/>
        <v>7500</v>
      </c>
      <c r="K29" s="7">
        <f t="shared" si="6"/>
        <v>7500</v>
      </c>
      <c r="L29" s="7">
        <f t="shared" si="6"/>
        <v>7500</v>
      </c>
      <c r="M29" s="7">
        <f t="shared" si="6"/>
        <v>7500</v>
      </c>
      <c r="N29" s="7">
        <f t="shared" si="6"/>
        <v>7500</v>
      </c>
      <c r="O29" s="7">
        <f t="shared" si="6"/>
        <v>7500</v>
      </c>
      <c r="P29" s="7">
        <f t="shared" si="6"/>
        <v>7500</v>
      </c>
      <c r="Q29" s="6">
        <f>SUM(E29:P29)</f>
        <v>90000</v>
      </c>
      <c r="R29" s="14">
        <f>Q29*$R$9</f>
        <v>2700</v>
      </c>
      <c r="S29" s="3"/>
    </row>
    <row r="30" spans="1:19" ht="15.75">
      <c r="A30" s="3" t="s">
        <v>72</v>
      </c>
      <c r="B30" s="22">
        <v>27500</v>
      </c>
      <c r="C30" s="22">
        <v>500</v>
      </c>
      <c r="D30" s="22">
        <f t="shared" si="7"/>
        <v>28000</v>
      </c>
      <c r="E30" s="7">
        <f t="shared" si="1"/>
        <v>2333.3333333333335</v>
      </c>
      <c r="F30" s="7">
        <f t="shared" si="6"/>
        <v>2333.3333333333335</v>
      </c>
      <c r="G30" s="7">
        <f t="shared" si="6"/>
        <v>2333.3333333333335</v>
      </c>
      <c r="H30" s="7">
        <f t="shared" si="6"/>
        <v>2333.3333333333335</v>
      </c>
      <c r="I30" s="7">
        <f t="shared" si="6"/>
        <v>2333.3333333333335</v>
      </c>
      <c r="J30" s="7">
        <f t="shared" si="6"/>
        <v>2333.3333333333335</v>
      </c>
      <c r="K30" s="7">
        <f t="shared" si="6"/>
        <v>2333.3333333333335</v>
      </c>
      <c r="L30" s="7">
        <f t="shared" si="6"/>
        <v>2333.3333333333335</v>
      </c>
      <c r="M30" s="7">
        <f t="shared" si="6"/>
        <v>2333.3333333333335</v>
      </c>
      <c r="N30" s="7">
        <f t="shared" si="6"/>
        <v>2333.3333333333335</v>
      </c>
      <c r="O30" s="7">
        <f t="shared" si="6"/>
        <v>2333.3333333333335</v>
      </c>
      <c r="P30" s="7">
        <f t="shared" si="6"/>
        <v>2333.3333333333335</v>
      </c>
      <c r="Q30" s="6">
        <f t="shared" si="3"/>
        <v>27999.999999999996</v>
      </c>
      <c r="R30" s="14">
        <f t="shared" si="4"/>
        <v>839.99999999999989</v>
      </c>
      <c r="S30" s="3"/>
    </row>
    <row r="31" spans="1:19" ht="15.75">
      <c r="A31" s="3" t="s">
        <v>38</v>
      </c>
      <c r="B31" s="22">
        <v>296400</v>
      </c>
      <c r="C31" s="22">
        <v>3600</v>
      </c>
      <c r="D31" s="22">
        <f t="shared" si="7"/>
        <v>300000</v>
      </c>
      <c r="E31" s="7">
        <f t="shared" si="1"/>
        <v>25000</v>
      </c>
      <c r="F31" s="7">
        <f t="shared" si="6"/>
        <v>25000</v>
      </c>
      <c r="G31" s="7">
        <f t="shared" si="6"/>
        <v>25000</v>
      </c>
      <c r="H31" s="7">
        <f t="shared" si="6"/>
        <v>25000</v>
      </c>
      <c r="I31" s="7">
        <f t="shared" si="6"/>
        <v>25000</v>
      </c>
      <c r="J31" s="7">
        <f t="shared" si="6"/>
        <v>25000</v>
      </c>
      <c r="K31" s="7">
        <f t="shared" si="6"/>
        <v>25000</v>
      </c>
      <c r="L31" s="7">
        <f t="shared" si="6"/>
        <v>25000</v>
      </c>
      <c r="M31" s="7">
        <f t="shared" si="6"/>
        <v>25000</v>
      </c>
      <c r="N31" s="7">
        <f t="shared" si="6"/>
        <v>25000</v>
      </c>
      <c r="O31" s="7">
        <f t="shared" si="6"/>
        <v>25000</v>
      </c>
      <c r="P31" s="7">
        <f t="shared" si="6"/>
        <v>25000</v>
      </c>
      <c r="Q31" s="6">
        <f t="shared" si="3"/>
        <v>300000</v>
      </c>
      <c r="R31" s="14">
        <f t="shared" si="4"/>
        <v>9000</v>
      </c>
      <c r="S31" s="3"/>
    </row>
    <row r="32" spans="1:19" ht="15.75">
      <c r="A32" s="3" t="s">
        <v>37</v>
      </c>
      <c r="B32" s="22">
        <v>144100</v>
      </c>
      <c r="C32" s="22">
        <v>2900</v>
      </c>
      <c r="D32" s="22">
        <f t="shared" si="7"/>
        <v>147000</v>
      </c>
      <c r="E32" s="7">
        <f t="shared" si="1"/>
        <v>12250</v>
      </c>
      <c r="F32" s="7">
        <f t="shared" si="6"/>
        <v>12250</v>
      </c>
      <c r="G32" s="7">
        <f t="shared" si="6"/>
        <v>12250</v>
      </c>
      <c r="H32" s="7">
        <f t="shared" si="6"/>
        <v>12250</v>
      </c>
      <c r="I32" s="7">
        <f t="shared" si="6"/>
        <v>12250</v>
      </c>
      <c r="J32" s="7">
        <f t="shared" si="6"/>
        <v>12250</v>
      </c>
      <c r="K32" s="7">
        <f t="shared" si="6"/>
        <v>12250</v>
      </c>
      <c r="L32" s="7">
        <f t="shared" si="6"/>
        <v>12250</v>
      </c>
      <c r="M32" s="7">
        <f t="shared" si="6"/>
        <v>12250</v>
      </c>
      <c r="N32" s="7">
        <f t="shared" si="6"/>
        <v>12250</v>
      </c>
      <c r="O32" s="7">
        <f t="shared" si="6"/>
        <v>12250</v>
      </c>
      <c r="P32" s="7">
        <f t="shared" si="6"/>
        <v>12250</v>
      </c>
      <c r="Q32" s="6">
        <f t="shared" si="3"/>
        <v>147000</v>
      </c>
      <c r="R32" s="14">
        <f t="shared" si="4"/>
        <v>4410</v>
      </c>
      <c r="S32" s="3"/>
    </row>
    <row r="35" spans="1:19" ht="15.75">
      <c r="A35" s="3" t="s">
        <v>67</v>
      </c>
      <c r="B35" s="8">
        <f t="shared" ref="B35:R35" si="8">SUM(B11:B34)</f>
        <v>2369425</v>
      </c>
      <c r="C35" s="8">
        <f t="shared" si="8"/>
        <v>58900</v>
      </c>
      <c r="D35" s="8">
        <f t="shared" si="8"/>
        <v>2375525</v>
      </c>
      <c r="E35" s="8">
        <f t="shared" si="8"/>
        <v>197960.41666666669</v>
      </c>
      <c r="F35" s="8">
        <f t="shared" si="8"/>
        <v>197960.41666666669</v>
      </c>
      <c r="G35" s="8">
        <f t="shared" si="8"/>
        <v>197960.41666666669</v>
      </c>
      <c r="H35" s="8">
        <f t="shared" si="8"/>
        <v>197960.41666666669</v>
      </c>
      <c r="I35" s="8">
        <f t="shared" si="8"/>
        <v>499732.41666666669</v>
      </c>
      <c r="J35" s="8">
        <f t="shared" si="8"/>
        <v>197960.41666666669</v>
      </c>
      <c r="K35" s="8">
        <f t="shared" si="8"/>
        <v>197960.41666666669</v>
      </c>
      <c r="L35" s="8">
        <f t="shared" si="8"/>
        <v>197960.41666666669</v>
      </c>
      <c r="M35" s="8">
        <f t="shared" si="8"/>
        <v>197960.41666666669</v>
      </c>
      <c r="N35" s="8">
        <f t="shared" si="8"/>
        <v>197960.41666666669</v>
      </c>
      <c r="O35" s="8">
        <f t="shared" si="8"/>
        <v>197960.41666666669</v>
      </c>
      <c r="P35" s="8">
        <f t="shared" si="8"/>
        <v>197960.41666666669</v>
      </c>
      <c r="Q35" s="8">
        <f t="shared" si="8"/>
        <v>2677297</v>
      </c>
      <c r="R35" s="8">
        <f t="shared" si="8"/>
        <v>56265.75</v>
      </c>
      <c r="S35" s="18">
        <f>SUM(Q35:R35)</f>
        <v>2733562.75</v>
      </c>
    </row>
    <row r="36" spans="1:19" ht="16.5" customHeight="1">
      <c r="A36" s="3"/>
      <c r="B36" s="22"/>
      <c r="C36" s="22"/>
      <c r="D36" s="22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6"/>
      <c r="R36" s="6"/>
      <c r="S36" s="3"/>
    </row>
    <row r="37" spans="1:19" ht="15.75">
      <c r="A37" s="3" t="s">
        <v>51</v>
      </c>
      <c r="B37" s="22">
        <v>0</v>
      </c>
      <c r="C37" s="22"/>
      <c r="D37" s="22">
        <v>0</v>
      </c>
      <c r="E37" s="7">
        <f t="shared" ref="E37:P38" si="9">+$D37/12</f>
        <v>0</v>
      </c>
      <c r="F37" s="7">
        <f t="shared" si="9"/>
        <v>0</v>
      </c>
      <c r="G37" s="7">
        <f t="shared" si="9"/>
        <v>0</v>
      </c>
      <c r="H37" s="7">
        <f t="shared" si="9"/>
        <v>0</v>
      </c>
      <c r="I37" s="7">
        <f t="shared" si="9"/>
        <v>0</v>
      </c>
      <c r="J37" s="7">
        <f t="shared" si="9"/>
        <v>0</v>
      </c>
      <c r="K37" s="7">
        <f t="shared" si="9"/>
        <v>0</v>
      </c>
      <c r="L37" s="7">
        <f t="shared" si="9"/>
        <v>0</v>
      </c>
      <c r="M37" s="7">
        <f t="shared" si="9"/>
        <v>0</v>
      </c>
      <c r="N37" s="7">
        <f t="shared" si="9"/>
        <v>0</v>
      </c>
      <c r="O37" s="7">
        <f t="shared" si="9"/>
        <v>0</v>
      </c>
      <c r="P37" s="7">
        <f t="shared" si="9"/>
        <v>0</v>
      </c>
      <c r="Q37" s="6">
        <f>SUM(E37:P37)</f>
        <v>0</v>
      </c>
      <c r="R37" s="14">
        <f>Q37*$R$9</f>
        <v>0</v>
      </c>
      <c r="S37" s="18">
        <f>SUM(Q37:R37)</f>
        <v>0</v>
      </c>
    </row>
    <row r="38" spans="1:19" s="1" customFormat="1">
      <c r="A38" s="3" t="s">
        <v>64</v>
      </c>
      <c r="B38" s="22"/>
      <c r="C38" s="22"/>
      <c r="D38" s="22">
        <v>0</v>
      </c>
      <c r="E38" s="7">
        <f t="shared" si="9"/>
        <v>0</v>
      </c>
      <c r="F38" s="7">
        <f t="shared" si="9"/>
        <v>0</v>
      </c>
      <c r="G38" s="7">
        <f t="shared" si="9"/>
        <v>0</v>
      </c>
      <c r="H38" s="7">
        <f t="shared" si="9"/>
        <v>0</v>
      </c>
      <c r="I38" s="7">
        <f t="shared" si="9"/>
        <v>0</v>
      </c>
      <c r="J38" s="7">
        <f t="shared" si="9"/>
        <v>0</v>
      </c>
      <c r="K38" s="7">
        <f t="shared" si="9"/>
        <v>0</v>
      </c>
      <c r="L38" s="7">
        <f t="shared" si="9"/>
        <v>0</v>
      </c>
      <c r="M38" s="7">
        <f t="shared" si="9"/>
        <v>0</v>
      </c>
      <c r="N38" s="7">
        <f t="shared" si="9"/>
        <v>0</v>
      </c>
      <c r="O38" s="7">
        <f t="shared" si="9"/>
        <v>0</v>
      </c>
      <c r="P38" s="7">
        <f t="shared" si="9"/>
        <v>0</v>
      </c>
      <c r="Q38" s="6">
        <f>SUM(E38:P38)</f>
        <v>0</v>
      </c>
      <c r="R38" s="14">
        <f>Q38*$R$9</f>
        <v>0</v>
      </c>
      <c r="S38" s="18">
        <f>SUM(Q38:R38)</f>
        <v>0</v>
      </c>
    </row>
    <row r="39" spans="1:19" ht="16.5" thickBot="1">
      <c r="A39" s="3" t="s">
        <v>68</v>
      </c>
      <c r="B39" s="25">
        <f>SUM(B35:B38)</f>
        <v>2369425</v>
      </c>
      <c r="C39" s="25">
        <f>SUM(C35:C38)</f>
        <v>58900</v>
      </c>
      <c r="D39" s="25">
        <f t="shared" ref="D39:R39" si="10">SUM(D35:D38)</f>
        <v>2375525</v>
      </c>
      <c r="E39" s="25">
        <f t="shared" si="10"/>
        <v>197960.41666666669</v>
      </c>
      <c r="F39" s="25">
        <f t="shared" si="10"/>
        <v>197960.41666666669</v>
      </c>
      <c r="G39" s="25">
        <f t="shared" si="10"/>
        <v>197960.41666666669</v>
      </c>
      <c r="H39" s="25">
        <f t="shared" si="10"/>
        <v>197960.41666666669</v>
      </c>
      <c r="I39" s="25">
        <f t="shared" si="10"/>
        <v>499732.41666666669</v>
      </c>
      <c r="J39" s="25">
        <f t="shared" si="10"/>
        <v>197960.41666666669</v>
      </c>
      <c r="K39" s="25">
        <f t="shared" si="10"/>
        <v>197960.41666666669</v>
      </c>
      <c r="L39" s="25">
        <f t="shared" si="10"/>
        <v>197960.41666666669</v>
      </c>
      <c r="M39" s="25">
        <f t="shared" si="10"/>
        <v>197960.41666666669</v>
      </c>
      <c r="N39" s="25">
        <f t="shared" si="10"/>
        <v>197960.41666666669</v>
      </c>
      <c r="O39" s="25">
        <f t="shared" si="10"/>
        <v>197960.41666666669</v>
      </c>
      <c r="P39" s="25">
        <f t="shared" si="10"/>
        <v>197960.41666666669</v>
      </c>
      <c r="Q39" s="25">
        <f t="shared" si="10"/>
        <v>2677297</v>
      </c>
      <c r="R39" s="25">
        <f t="shared" si="10"/>
        <v>56265.75</v>
      </c>
      <c r="S39" s="3"/>
    </row>
    <row r="40" spans="1:19" ht="16.5" thickTop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8">
        <f>SUM(Q39:R39)</f>
        <v>2733562.75</v>
      </c>
      <c r="S40" s="18">
        <f>SUM(S35:S39)</f>
        <v>2733562.75</v>
      </c>
    </row>
    <row r="41" spans="1:19" ht="15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2">
        <f>-Q18</f>
        <v>-301772</v>
      </c>
      <c r="S41" s="3"/>
    </row>
    <row r="42" spans="1:19" ht="16.5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5">
        <f>SUM(R40:R41)</f>
        <v>2431790.75</v>
      </c>
      <c r="S42" s="3"/>
    </row>
    <row r="43" spans="1:19" ht="16.5" thickTop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5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5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5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5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</sheetData>
  <mergeCells count="6">
    <mergeCell ref="E8:P8"/>
    <mergeCell ref="A1:R1"/>
    <mergeCell ref="A2:R2"/>
    <mergeCell ref="A3:R3"/>
    <mergeCell ref="A4:R4"/>
    <mergeCell ref="A5:R5"/>
  </mergeCells>
  <phoneticPr fontId="0" type="noConversion"/>
  <pageMargins left="0.5" right="0" top="0.3" bottom="0.3" header="0.5" footer="0.25"/>
  <pageSetup paperSize="5" scale="64" orientation="landscape" r:id="rId1"/>
  <headerFooter alignWithMargins="0">
    <oddFooter>&amp;L&amp;8&amp;Z&amp;F&amp;A&amp;C&amp;8&amp;D&amp;T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/>
  <dimension ref="A1:BW163"/>
  <sheetViews>
    <sheetView defaultGridColor="0" colorId="22" zoomScale="75" zoomScaleNormal="87" workbookViewId="0">
      <selection activeCell="D29" sqref="D29"/>
    </sheetView>
  </sheetViews>
  <sheetFormatPr defaultColWidth="9.77734375" defaultRowHeight="15"/>
  <cols>
    <col min="1" max="1" width="23.77734375" style="1" customWidth="1"/>
    <col min="2" max="2" width="11" style="1" customWidth="1"/>
    <col min="3" max="3" width="11.109375" style="1" customWidth="1"/>
    <col min="4" max="7" width="10.21875" style="1" bestFit="1" customWidth="1"/>
    <col min="8" max="8" width="10.44140625" style="1" bestFit="1" customWidth="1"/>
    <col min="9" max="13" width="10.21875" style="1" bestFit="1" customWidth="1"/>
    <col min="14" max="14" width="10.77734375" style="1" bestFit="1" customWidth="1"/>
    <col min="15" max="15" width="13.21875" style="1" customWidth="1"/>
    <col min="16" max="16" width="11.5546875" style="1" bestFit="1" customWidth="1"/>
    <col min="17" max="17" width="10.33203125" style="1" customWidth="1"/>
    <col min="18" max="18" width="12.6640625" style="1" customWidth="1"/>
    <col min="19" max="75" width="9.77734375" style="1"/>
  </cols>
  <sheetData>
    <row r="1" spans="1:18" ht="15.7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3"/>
    </row>
    <row r="2" spans="1:18" ht="15.7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3"/>
    </row>
    <row r="3" spans="1:18" ht="15.75">
      <c r="A3" s="66" t="s">
        <v>81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3"/>
    </row>
    <row r="4" spans="1:18" s="1" customFormat="1">
      <c r="A4" s="3"/>
      <c r="B4" s="3"/>
      <c r="C4" s="3"/>
      <c r="D4" s="3"/>
      <c r="E4" s="3"/>
      <c r="F4" s="3"/>
      <c r="G4" s="3"/>
      <c r="H4" s="66" t="s">
        <v>65</v>
      </c>
      <c r="I4" s="66"/>
      <c r="J4" s="3"/>
      <c r="K4" s="3"/>
      <c r="L4" s="3"/>
      <c r="M4" s="3"/>
      <c r="N4" s="3"/>
      <c r="O4" s="3"/>
      <c r="P4" s="2" t="s">
        <v>2</v>
      </c>
      <c r="Q4" s="2" t="s">
        <v>4</v>
      </c>
      <c r="R4" s="3"/>
    </row>
    <row r="5" spans="1:18" s="1" customFormat="1" ht="30">
      <c r="A5" s="3" t="s">
        <v>56</v>
      </c>
      <c r="B5" s="3"/>
      <c r="C5" s="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2" t="s">
        <v>5</v>
      </c>
      <c r="Q5" s="24" t="s">
        <v>52</v>
      </c>
      <c r="R5" s="3"/>
    </row>
    <row r="6" spans="1:18" s="1" customFormat="1">
      <c r="A6" s="5" t="s">
        <v>7</v>
      </c>
      <c r="B6" s="5">
        <v>2010</v>
      </c>
      <c r="C6" s="5">
        <v>2011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5" t="s">
        <v>19</v>
      </c>
      <c r="P6" s="5" t="s">
        <v>3</v>
      </c>
      <c r="Q6" s="5">
        <f>IGNORE!R9</f>
        <v>0.03</v>
      </c>
      <c r="R6" s="3"/>
    </row>
    <row r="7" spans="1:18" s="1" customFormat="1">
      <c r="R7" s="3"/>
    </row>
    <row r="8" spans="1:18" s="1" customFormat="1">
      <c r="A8" s="3" t="s">
        <v>30</v>
      </c>
      <c r="B8" s="22">
        <f>IGNORE!B11</f>
        <v>38600</v>
      </c>
      <c r="C8" s="22">
        <f>IGNORE!D11</f>
        <v>42000</v>
      </c>
      <c r="D8" s="7">
        <f t="shared" ref="D8:O14" si="0">+$C8/12</f>
        <v>3500</v>
      </c>
      <c r="E8" s="7">
        <f t="shared" si="0"/>
        <v>3500</v>
      </c>
      <c r="F8" s="7">
        <f t="shared" si="0"/>
        <v>3500</v>
      </c>
      <c r="G8" s="7">
        <f t="shared" si="0"/>
        <v>3500</v>
      </c>
      <c r="H8" s="7">
        <f t="shared" si="0"/>
        <v>3500</v>
      </c>
      <c r="I8" s="7">
        <f t="shared" si="0"/>
        <v>3500</v>
      </c>
      <c r="J8" s="7">
        <f t="shared" si="0"/>
        <v>3500</v>
      </c>
      <c r="K8" s="7">
        <f t="shared" si="0"/>
        <v>3500</v>
      </c>
      <c r="L8" s="7">
        <f t="shared" si="0"/>
        <v>3500</v>
      </c>
      <c r="M8" s="7">
        <f t="shared" si="0"/>
        <v>3500</v>
      </c>
      <c r="N8" s="7">
        <f t="shared" si="0"/>
        <v>3500</v>
      </c>
      <c r="O8" s="7">
        <f t="shared" si="0"/>
        <v>3500</v>
      </c>
      <c r="P8" s="6">
        <f t="shared" ref="P8:P27" si="1">SUM(D8:O8)</f>
        <v>42000</v>
      </c>
      <c r="Q8" s="14">
        <f t="shared" ref="Q8:Q31" si="2">P8*$Q$6</f>
        <v>1260</v>
      </c>
      <c r="R8" s="3"/>
    </row>
    <row r="9" spans="1:18" s="1" customFormat="1">
      <c r="A9" s="3" t="s">
        <v>39</v>
      </c>
      <c r="B9" s="22">
        <f>IGNORE!B12</f>
        <v>24850</v>
      </c>
      <c r="C9" s="22">
        <f>IGNORE!D12</f>
        <v>25200</v>
      </c>
      <c r="D9" s="7">
        <f t="shared" si="0"/>
        <v>2100</v>
      </c>
      <c r="E9" s="7">
        <f t="shared" si="0"/>
        <v>2100</v>
      </c>
      <c r="F9" s="7">
        <f t="shared" si="0"/>
        <v>2100</v>
      </c>
      <c r="G9" s="7">
        <f t="shared" si="0"/>
        <v>2100</v>
      </c>
      <c r="H9" s="7">
        <f t="shared" si="0"/>
        <v>2100</v>
      </c>
      <c r="I9" s="7">
        <f t="shared" si="0"/>
        <v>2100</v>
      </c>
      <c r="J9" s="7">
        <f t="shared" si="0"/>
        <v>2100</v>
      </c>
      <c r="K9" s="7">
        <f t="shared" si="0"/>
        <v>2100</v>
      </c>
      <c r="L9" s="7">
        <f t="shared" si="0"/>
        <v>2100</v>
      </c>
      <c r="M9" s="7">
        <f t="shared" si="0"/>
        <v>2100</v>
      </c>
      <c r="N9" s="7">
        <f t="shared" si="0"/>
        <v>2100</v>
      </c>
      <c r="O9" s="7">
        <f t="shared" si="0"/>
        <v>2100</v>
      </c>
      <c r="P9" s="6">
        <f>SUM(D9:O9)</f>
        <v>25200</v>
      </c>
      <c r="Q9" s="14">
        <f t="shared" si="2"/>
        <v>756</v>
      </c>
      <c r="R9" s="3"/>
    </row>
    <row r="10" spans="1:18" s="1" customFormat="1">
      <c r="A10" s="3" t="s">
        <v>33</v>
      </c>
      <c r="B10" s="22">
        <f>IGNORE!B13</f>
        <v>53800</v>
      </c>
      <c r="C10" s="22">
        <f>IGNORE!D13</f>
        <v>55000</v>
      </c>
      <c r="D10" s="7">
        <f t="shared" si="0"/>
        <v>4583.333333333333</v>
      </c>
      <c r="E10" s="7">
        <f t="shared" si="0"/>
        <v>4583.333333333333</v>
      </c>
      <c r="F10" s="7">
        <f t="shared" si="0"/>
        <v>4583.333333333333</v>
      </c>
      <c r="G10" s="7">
        <f t="shared" si="0"/>
        <v>4583.333333333333</v>
      </c>
      <c r="H10" s="7">
        <f t="shared" si="0"/>
        <v>4583.333333333333</v>
      </c>
      <c r="I10" s="7">
        <f t="shared" si="0"/>
        <v>4583.333333333333</v>
      </c>
      <c r="J10" s="7">
        <f t="shared" si="0"/>
        <v>4583.333333333333</v>
      </c>
      <c r="K10" s="7">
        <f t="shared" si="0"/>
        <v>4583.333333333333</v>
      </c>
      <c r="L10" s="7">
        <f t="shared" si="0"/>
        <v>4583.333333333333</v>
      </c>
      <c r="M10" s="7">
        <f t="shared" si="0"/>
        <v>4583.333333333333</v>
      </c>
      <c r="N10" s="7">
        <f t="shared" si="0"/>
        <v>4583.333333333333</v>
      </c>
      <c r="O10" s="7">
        <f t="shared" si="0"/>
        <v>4583.333333333333</v>
      </c>
      <c r="P10" s="6">
        <f t="shared" si="1"/>
        <v>55000.000000000007</v>
      </c>
      <c r="Q10" s="14">
        <f t="shared" si="2"/>
        <v>1650.0000000000002</v>
      </c>
      <c r="R10" s="3"/>
    </row>
    <row r="11" spans="1:18" s="1" customFormat="1">
      <c r="A11" s="3" t="s">
        <v>34</v>
      </c>
      <c r="B11" s="22">
        <f>IGNORE!B14</f>
        <v>66000</v>
      </c>
      <c r="C11" s="22">
        <f>IGNORE!D14</f>
        <v>67000</v>
      </c>
      <c r="D11" s="7">
        <f t="shared" si="0"/>
        <v>5583.333333333333</v>
      </c>
      <c r="E11" s="7">
        <f t="shared" si="0"/>
        <v>5583.333333333333</v>
      </c>
      <c r="F11" s="7">
        <f t="shared" si="0"/>
        <v>5583.333333333333</v>
      </c>
      <c r="G11" s="7">
        <f t="shared" si="0"/>
        <v>5583.333333333333</v>
      </c>
      <c r="H11" s="7">
        <f t="shared" si="0"/>
        <v>5583.333333333333</v>
      </c>
      <c r="I11" s="7">
        <f t="shared" si="0"/>
        <v>5583.333333333333</v>
      </c>
      <c r="J11" s="7">
        <f t="shared" si="0"/>
        <v>5583.333333333333</v>
      </c>
      <c r="K11" s="7">
        <f t="shared" si="0"/>
        <v>5583.333333333333</v>
      </c>
      <c r="L11" s="7">
        <f t="shared" si="0"/>
        <v>5583.333333333333</v>
      </c>
      <c r="M11" s="7">
        <f t="shared" si="0"/>
        <v>5583.333333333333</v>
      </c>
      <c r="N11" s="7">
        <f t="shared" si="0"/>
        <v>5583.333333333333</v>
      </c>
      <c r="O11" s="7">
        <f t="shared" si="0"/>
        <v>5583.333333333333</v>
      </c>
      <c r="P11" s="6">
        <f t="shared" si="1"/>
        <v>67000.000000000015</v>
      </c>
      <c r="Q11" s="14">
        <f t="shared" si="2"/>
        <v>2010.0000000000005</v>
      </c>
      <c r="R11" s="3"/>
    </row>
    <row r="12" spans="1:18" s="1" customFormat="1">
      <c r="A12" s="3" t="s">
        <v>35</v>
      </c>
      <c r="B12" s="22">
        <f>IGNORE!B15</f>
        <v>69100</v>
      </c>
      <c r="C12" s="22">
        <f>IGNORE!D15</f>
        <v>75000</v>
      </c>
      <c r="D12" s="7">
        <f t="shared" si="0"/>
        <v>6250</v>
      </c>
      <c r="E12" s="7">
        <f t="shared" si="0"/>
        <v>6250</v>
      </c>
      <c r="F12" s="7">
        <f t="shared" si="0"/>
        <v>6250</v>
      </c>
      <c r="G12" s="7">
        <f t="shared" si="0"/>
        <v>6250</v>
      </c>
      <c r="H12" s="7">
        <f t="shared" si="0"/>
        <v>6250</v>
      </c>
      <c r="I12" s="7">
        <f t="shared" si="0"/>
        <v>6250</v>
      </c>
      <c r="J12" s="7">
        <f t="shared" si="0"/>
        <v>6250</v>
      </c>
      <c r="K12" s="7">
        <f t="shared" si="0"/>
        <v>6250</v>
      </c>
      <c r="L12" s="7">
        <f t="shared" si="0"/>
        <v>6250</v>
      </c>
      <c r="M12" s="7">
        <f t="shared" si="0"/>
        <v>6250</v>
      </c>
      <c r="N12" s="7">
        <f t="shared" si="0"/>
        <v>6250</v>
      </c>
      <c r="O12" s="7">
        <f t="shared" si="0"/>
        <v>6250</v>
      </c>
      <c r="P12" s="6">
        <f t="shared" si="1"/>
        <v>75000</v>
      </c>
      <c r="Q12" s="14">
        <f t="shared" si="2"/>
        <v>2250</v>
      </c>
      <c r="R12" s="3"/>
    </row>
    <row r="13" spans="1:18" s="1" customFormat="1">
      <c r="A13" s="3" t="s">
        <v>40</v>
      </c>
      <c r="B13" s="22">
        <f>IGNORE!B16</f>
        <v>186800</v>
      </c>
      <c r="C13" s="22">
        <f>IGNORE!D16</f>
        <v>200000</v>
      </c>
      <c r="D13" s="7">
        <f t="shared" si="0"/>
        <v>16666.666666666668</v>
      </c>
      <c r="E13" s="7">
        <f t="shared" si="0"/>
        <v>16666.666666666668</v>
      </c>
      <c r="F13" s="7">
        <f t="shared" si="0"/>
        <v>16666.666666666668</v>
      </c>
      <c r="G13" s="7">
        <f t="shared" si="0"/>
        <v>16666.666666666668</v>
      </c>
      <c r="H13" s="7">
        <f t="shared" si="0"/>
        <v>16666.666666666668</v>
      </c>
      <c r="I13" s="7">
        <f t="shared" si="0"/>
        <v>16666.666666666668</v>
      </c>
      <c r="J13" s="7">
        <f t="shared" si="0"/>
        <v>16666.666666666668</v>
      </c>
      <c r="K13" s="7">
        <f t="shared" si="0"/>
        <v>16666.666666666668</v>
      </c>
      <c r="L13" s="7">
        <f t="shared" si="0"/>
        <v>16666.666666666668</v>
      </c>
      <c r="M13" s="7">
        <f t="shared" si="0"/>
        <v>16666.666666666668</v>
      </c>
      <c r="N13" s="7">
        <f t="shared" si="0"/>
        <v>16666.666666666668</v>
      </c>
      <c r="O13" s="7">
        <f t="shared" si="0"/>
        <v>16666.666666666668</v>
      </c>
      <c r="P13" s="6">
        <f>SUM(D13:O13)</f>
        <v>199999.99999999997</v>
      </c>
      <c r="Q13" s="14">
        <f t="shared" si="2"/>
        <v>5999.9999999999991</v>
      </c>
      <c r="R13" s="3"/>
    </row>
    <row r="14" spans="1:18" s="1" customFormat="1">
      <c r="A14" s="3" t="s">
        <v>36</v>
      </c>
      <c r="B14" s="22">
        <f>IGNORE!B17</f>
        <v>500000</v>
      </c>
      <c r="C14" s="22">
        <f>IGNORE!D17</f>
        <v>500000</v>
      </c>
      <c r="D14" s="7">
        <f t="shared" si="0"/>
        <v>41666.666666666664</v>
      </c>
      <c r="E14" s="7">
        <f t="shared" si="0"/>
        <v>41666.666666666664</v>
      </c>
      <c r="F14" s="7">
        <f t="shared" si="0"/>
        <v>41666.666666666664</v>
      </c>
      <c r="G14" s="7">
        <f t="shared" si="0"/>
        <v>41666.666666666664</v>
      </c>
      <c r="H14" s="7">
        <f t="shared" si="0"/>
        <v>41666.666666666664</v>
      </c>
      <c r="I14" s="7">
        <f t="shared" si="0"/>
        <v>41666.666666666664</v>
      </c>
      <c r="J14" s="7">
        <f t="shared" si="0"/>
        <v>41666.666666666664</v>
      </c>
      <c r="K14" s="7">
        <f t="shared" si="0"/>
        <v>41666.666666666664</v>
      </c>
      <c r="L14" s="7">
        <f t="shared" si="0"/>
        <v>41666.666666666664</v>
      </c>
      <c r="M14" s="7">
        <f t="shared" si="0"/>
        <v>41666.666666666664</v>
      </c>
      <c r="N14" s="7">
        <f t="shared" si="0"/>
        <v>41666.666666666664</v>
      </c>
      <c r="O14" s="7">
        <f t="shared" si="0"/>
        <v>41666.666666666664</v>
      </c>
      <c r="P14" s="6">
        <f t="shared" si="1"/>
        <v>500000.00000000006</v>
      </c>
      <c r="Q14" s="14"/>
      <c r="R14" s="3"/>
    </row>
    <row r="15" spans="1:18" s="1" customFormat="1">
      <c r="A15" s="3" t="s">
        <v>57</v>
      </c>
      <c r="B15" s="22"/>
      <c r="C15" s="22">
        <f>IGNORE!D18</f>
        <v>0</v>
      </c>
      <c r="D15" s="7">
        <v>0</v>
      </c>
      <c r="E15" s="7">
        <v>0</v>
      </c>
      <c r="F15" s="7">
        <v>0</v>
      </c>
      <c r="G15" s="7">
        <v>0</v>
      </c>
      <c r="H15" s="26">
        <f>230332+18240+53200</f>
        <v>301772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6">
        <f t="shared" si="1"/>
        <v>301772</v>
      </c>
      <c r="Q15" s="14"/>
      <c r="R15" s="3"/>
    </row>
    <row r="16" spans="1:18" s="1" customFormat="1">
      <c r="A16" s="3" t="s">
        <v>41</v>
      </c>
      <c r="B16" s="22">
        <f>IGNORE!B19</f>
        <v>23875</v>
      </c>
      <c r="C16" s="22">
        <f>IGNORE!D19</f>
        <v>24225</v>
      </c>
      <c r="D16" s="7">
        <f t="shared" ref="D16:O31" si="3">+$C16/12</f>
        <v>2018.75</v>
      </c>
      <c r="E16" s="7">
        <f t="shared" si="3"/>
        <v>2018.75</v>
      </c>
      <c r="F16" s="7">
        <f t="shared" si="3"/>
        <v>2018.75</v>
      </c>
      <c r="G16" s="7">
        <f t="shared" si="3"/>
        <v>2018.75</v>
      </c>
      <c r="H16" s="7">
        <f t="shared" si="3"/>
        <v>2018.75</v>
      </c>
      <c r="I16" s="7">
        <f t="shared" si="3"/>
        <v>2018.75</v>
      </c>
      <c r="J16" s="7">
        <f t="shared" si="3"/>
        <v>2018.75</v>
      </c>
      <c r="K16" s="7">
        <f t="shared" si="3"/>
        <v>2018.75</v>
      </c>
      <c r="L16" s="7">
        <f t="shared" si="3"/>
        <v>2018.75</v>
      </c>
      <c r="M16" s="7">
        <f t="shared" si="3"/>
        <v>2018.75</v>
      </c>
      <c r="N16" s="7">
        <f t="shared" si="3"/>
        <v>2018.75</v>
      </c>
      <c r="O16" s="7">
        <f t="shared" si="3"/>
        <v>2018.75</v>
      </c>
      <c r="P16" s="6">
        <f>SUM(D16:O16)</f>
        <v>24225</v>
      </c>
      <c r="Q16" s="14">
        <f t="shared" si="2"/>
        <v>726.75</v>
      </c>
      <c r="R16" s="3"/>
    </row>
    <row r="17" spans="1:18" s="1" customFormat="1">
      <c r="A17" s="3" t="s">
        <v>31</v>
      </c>
      <c r="B17" s="22">
        <f>IGNORE!B20</f>
        <v>122800</v>
      </c>
      <c r="C17" s="22">
        <f>IGNORE!D20</f>
        <v>125000</v>
      </c>
      <c r="D17" s="7">
        <f t="shared" si="3"/>
        <v>10416.666666666666</v>
      </c>
      <c r="E17" s="7">
        <f t="shared" si="3"/>
        <v>10416.666666666666</v>
      </c>
      <c r="F17" s="7">
        <f t="shared" si="3"/>
        <v>10416.666666666666</v>
      </c>
      <c r="G17" s="7">
        <f t="shared" si="3"/>
        <v>10416.666666666666</v>
      </c>
      <c r="H17" s="7">
        <f t="shared" si="3"/>
        <v>10416.666666666666</v>
      </c>
      <c r="I17" s="7">
        <f t="shared" si="3"/>
        <v>10416.666666666666</v>
      </c>
      <c r="J17" s="7">
        <f t="shared" si="3"/>
        <v>10416.666666666666</v>
      </c>
      <c r="K17" s="7">
        <f t="shared" si="3"/>
        <v>10416.666666666666</v>
      </c>
      <c r="L17" s="7">
        <f t="shared" si="3"/>
        <v>10416.666666666666</v>
      </c>
      <c r="M17" s="7">
        <f t="shared" si="3"/>
        <v>10416.666666666666</v>
      </c>
      <c r="N17" s="7">
        <f t="shared" si="3"/>
        <v>10416.666666666666</v>
      </c>
      <c r="O17" s="7">
        <f t="shared" si="3"/>
        <v>10416.666666666666</v>
      </c>
      <c r="P17" s="6">
        <f t="shared" si="1"/>
        <v>125000.00000000001</v>
      </c>
      <c r="Q17" s="14">
        <f t="shared" si="2"/>
        <v>3750.0000000000005</v>
      </c>
      <c r="R17" s="3"/>
    </row>
    <row r="18" spans="1:18" s="1" customFormat="1">
      <c r="A18" s="3" t="s">
        <v>48</v>
      </c>
      <c r="B18" s="22">
        <f>IGNORE!B21</f>
        <v>99500</v>
      </c>
      <c r="C18" s="22">
        <f>IGNORE!D21</f>
        <v>108000</v>
      </c>
      <c r="D18" s="7">
        <f t="shared" si="3"/>
        <v>9000</v>
      </c>
      <c r="E18" s="7">
        <f t="shared" si="3"/>
        <v>9000</v>
      </c>
      <c r="F18" s="7">
        <f t="shared" si="3"/>
        <v>9000</v>
      </c>
      <c r="G18" s="7">
        <f t="shared" si="3"/>
        <v>9000</v>
      </c>
      <c r="H18" s="7">
        <f t="shared" si="3"/>
        <v>9000</v>
      </c>
      <c r="I18" s="7">
        <f t="shared" si="3"/>
        <v>9000</v>
      </c>
      <c r="J18" s="7">
        <f t="shared" si="3"/>
        <v>9000</v>
      </c>
      <c r="K18" s="7">
        <f t="shared" si="3"/>
        <v>9000</v>
      </c>
      <c r="L18" s="7">
        <f t="shared" si="3"/>
        <v>9000</v>
      </c>
      <c r="M18" s="7">
        <f t="shared" si="3"/>
        <v>9000</v>
      </c>
      <c r="N18" s="7">
        <f t="shared" si="3"/>
        <v>9000</v>
      </c>
      <c r="O18" s="7">
        <f t="shared" si="3"/>
        <v>9000</v>
      </c>
      <c r="P18" s="6">
        <f t="shared" si="1"/>
        <v>108000</v>
      </c>
      <c r="Q18" s="14">
        <f t="shared" si="2"/>
        <v>3240</v>
      </c>
      <c r="R18" s="3"/>
    </row>
    <row r="19" spans="1:18" s="1" customFormat="1">
      <c r="A19" s="3" t="s">
        <v>46</v>
      </c>
      <c r="B19" s="22">
        <f>IGNORE!B22</f>
        <v>34600</v>
      </c>
      <c r="C19" s="22">
        <f>IGNORE!D22</f>
        <v>35100</v>
      </c>
      <c r="D19" s="7">
        <f t="shared" si="3"/>
        <v>2925</v>
      </c>
      <c r="E19" s="7">
        <f t="shared" si="3"/>
        <v>2925</v>
      </c>
      <c r="F19" s="7">
        <f t="shared" si="3"/>
        <v>2925</v>
      </c>
      <c r="G19" s="7">
        <f t="shared" si="3"/>
        <v>2925</v>
      </c>
      <c r="H19" s="7">
        <f t="shared" si="3"/>
        <v>2925</v>
      </c>
      <c r="I19" s="7">
        <f t="shared" si="3"/>
        <v>2925</v>
      </c>
      <c r="J19" s="7">
        <f t="shared" si="3"/>
        <v>2925</v>
      </c>
      <c r="K19" s="7">
        <f t="shared" si="3"/>
        <v>2925</v>
      </c>
      <c r="L19" s="7">
        <f t="shared" si="3"/>
        <v>2925</v>
      </c>
      <c r="M19" s="7">
        <f t="shared" si="3"/>
        <v>2925</v>
      </c>
      <c r="N19" s="7">
        <f t="shared" si="3"/>
        <v>2925</v>
      </c>
      <c r="O19" s="7">
        <f t="shared" si="3"/>
        <v>2925</v>
      </c>
      <c r="P19" s="6">
        <f t="shared" si="1"/>
        <v>35100</v>
      </c>
      <c r="Q19" s="14">
        <f t="shared" si="2"/>
        <v>1053</v>
      </c>
      <c r="R19" s="3"/>
    </row>
    <row r="20" spans="1:18" s="1" customFormat="1">
      <c r="A20" s="3" t="s">
        <v>42</v>
      </c>
      <c r="B20" s="22">
        <f>IGNORE!B23</f>
        <v>126900</v>
      </c>
      <c r="C20" s="22">
        <f>IGNORE!D23</f>
        <v>130000</v>
      </c>
      <c r="D20" s="7">
        <f t="shared" si="3"/>
        <v>10833.333333333334</v>
      </c>
      <c r="E20" s="7">
        <f t="shared" si="3"/>
        <v>10833.333333333334</v>
      </c>
      <c r="F20" s="7">
        <f t="shared" si="3"/>
        <v>10833.333333333334</v>
      </c>
      <c r="G20" s="7">
        <f t="shared" si="3"/>
        <v>10833.333333333334</v>
      </c>
      <c r="H20" s="7">
        <f t="shared" si="3"/>
        <v>10833.333333333334</v>
      </c>
      <c r="I20" s="7">
        <f t="shared" si="3"/>
        <v>10833.333333333334</v>
      </c>
      <c r="J20" s="7">
        <f t="shared" si="3"/>
        <v>10833.333333333334</v>
      </c>
      <c r="K20" s="7">
        <f t="shared" si="3"/>
        <v>10833.333333333334</v>
      </c>
      <c r="L20" s="7">
        <f t="shared" si="3"/>
        <v>10833.333333333334</v>
      </c>
      <c r="M20" s="7">
        <f t="shared" si="3"/>
        <v>10833.333333333334</v>
      </c>
      <c r="N20" s="7">
        <f t="shared" si="3"/>
        <v>10833.333333333334</v>
      </c>
      <c r="O20" s="7">
        <f t="shared" si="3"/>
        <v>10833.333333333334</v>
      </c>
      <c r="P20" s="6">
        <f t="shared" si="1"/>
        <v>129999.99999999999</v>
      </c>
      <c r="Q20" s="14">
        <f t="shared" si="2"/>
        <v>3899.9999999999995</v>
      </c>
      <c r="R20" s="3"/>
    </row>
    <row r="21" spans="1:18" s="1" customFormat="1">
      <c r="A21" s="3" t="s">
        <v>32</v>
      </c>
      <c r="B21" s="22">
        <f>IGNORE!B24</f>
        <v>67000</v>
      </c>
      <c r="C21" s="22">
        <f>IGNORE!D24</f>
        <v>68000</v>
      </c>
      <c r="D21" s="7">
        <f t="shared" si="3"/>
        <v>5666.666666666667</v>
      </c>
      <c r="E21" s="7">
        <f t="shared" si="3"/>
        <v>5666.666666666667</v>
      </c>
      <c r="F21" s="7">
        <f t="shared" si="3"/>
        <v>5666.666666666667</v>
      </c>
      <c r="G21" s="7">
        <f t="shared" si="3"/>
        <v>5666.666666666667</v>
      </c>
      <c r="H21" s="7">
        <f t="shared" si="3"/>
        <v>5666.666666666667</v>
      </c>
      <c r="I21" s="7">
        <f t="shared" si="3"/>
        <v>5666.666666666667</v>
      </c>
      <c r="J21" s="7">
        <f t="shared" si="3"/>
        <v>5666.666666666667</v>
      </c>
      <c r="K21" s="7">
        <f t="shared" si="3"/>
        <v>5666.666666666667</v>
      </c>
      <c r="L21" s="7">
        <f t="shared" si="3"/>
        <v>5666.666666666667</v>
      </c>
      <c r="M21" s="7">
        <f t="shared" si="3"/>
        <v>5666.666666666667</v>
      </c>
      <c r="N21" s="7">
        <f t="shared" si="3"/>
        <v>5666.666666666667</v>
      </c>
      <c r="O21" s="7">
        <f t="shared" si="3"/>
        <v>5666.666666666667</v>
      </c>
      <c r="P21" s="6">
        <f t="shared" si="1"/>
        <v>67999.999999999985</v>
      </c>
      <c r="Q21" s="14">
        <f t="shared" si="2"/>
        <v>2039.9999999999995</v>
      </c>
      <c r="R21" s="3"/>
    </row>
    <row r="22" spans="1:18" s="1" customFormat="1">
      <c r="A22" s="3" t="s">
        <v>49</v>
      </c>
      <c r="B22" s="22">
        <f>IGNORE!B25</f>
        <v>52800</v>
      </c>
      <c r="C22" s="22">
        <f>IGNORE!D25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6">
        <f t="shared" si="1"/>
        <v>0</v>
      </c>
      <c r="Q22" s="14">
        <f t="shared" si="2"/>
        <v>0</v>
      </c>
      <c r="R22" s="3"/>
    </row>
    <row r="23" spans="1:18" s="1" customFormat="1">
      <c r="A23" s="3" t="s">
        <v>71</v>
      </c>
      <c r="B23" s="22">
        <f>IGNORE!B26</f>
        <v>253700</v>
      </c>
      <c r="C23" s="22">
        <f>IGNORE!D26</f>
        <v>258000</v>
      </c>
      <c r="D23" s="7">
        <f t="shared" si="3"/>
        <v>21500</v>
      </c>
      <c r="E23" s="7">
        <f t="shared" si="3"/>
        <v>21500</v>
      </c>
      <c r="F23" s="7">
        <f t="shared" si="3"/>
        <v>21500</v>
      </c>
      <c r="G23" s="7">
        <f t="shared" si="3"/>
        <v>21500</v>
      </c>
      <c r="H23" s="7">
        <f t="shared" si="3"/>
        <v>21500</v>
      </c>
      <c r="I23" s="7">
        <f t="shared" si="3"/>
        <v>21500</v>
      </c>
      <c r="J23" s="7">
        <f t="shared" si="3"/>
        <v>21500</v>
      </c>
      <c r="K23" s="7">
        <f t="shared" si="3"/>
        <v>21500</v>
      </c>
      <c r="L23" s="7">
        <f t="shared" si="3"/>
        <v>21500</v>
      </c>
      <c r="M23" s="7">
        <f t="shared" si="3"/>
        <v>21500</v>
      </c>
      <c r="N23" s="7">
        <f t="shared" si="3"/>
        <v>21500</v>
      </c>
      <c r="O23" s="7">
        <f t="shared" si="3"/>
        <v>21500</v>
      </c>
      <c r="P23" s="6">
        <f t="shared" si="1"/>
        <v>258000</v>
      </c>
      <c r="Q23" s="14">
        <f t="shared" si="2"/>
        <v>7740</v>
      </c>
      <c r="R23" s="3"/>
    </row>
    <row r="24" spans="1:18" s="1" customFormat="1">
      <c r="A24" s="3" t="s">
        <v>79</v>
      </c>
      <c r="B24" s="22">
        <f>IGNORE!B27</f>
        <v>42000</v>
      </c>
      <c r="C24" s="22">
        <f>IGNORE!D27</f>
        <v>44000</v>
      </c>
      <c r="D24" s="7">
        <f t="shared" si="3"/>
        <v>3666.6666666666665</v>
      </c>
      <c r="E24" s="7">
        <f t="shared" si="3"/>
        <v>3666.6666666666665</v>
      </c>
      <c r="F24" s="7">
        <f t="shared" si="3"/>
        <v>3666.6666666666665</v>
      </c>
      <c r="G24" s="7">
        <f t="shared" si="3"/>
        <v>3666.6666666666665</v>
      </c>
      <c r="H24" s="7">
        <f t="shared" si="3"/>
        <v>3666.6666666666665</v>
      </c>
      <c r="I24" s="7">
        <f t="shared" si="3"/>
        <v>3666.6666666666665</v>
      </c>
      <c r="J24" s="7">
        <f t="shared" si="3"/>
        <v>3666.6666666666665</v>
      </c>
      <c r="K24" s="7">
        <f t="shared" si="3"/>
        <v>3666.6666666666665</v>
      </c>
      <c r="L24" s="7">
        <f t="shared" si="3"/>
        <v>3666.6666666666665</v>
      </c>
      <c r="M24" s="7">
        <f t="shared" si="3"/>
        <v>3666.6666666666665</v>
      </c>
      <c r="N24" s="7">
        <f t="shared" si="3"/>
        <v>3666.6666666666665</v>
      </c>
      <c r="O24" s="7">
        <f t="shared" si="3"/>
        <v>3666.6666666666665</v>
      </c>
      <c r="P24" s="6">
        <f t="shared" si="1"/>
        <v>43999.999999999993</v>
      </c>
      <c r="Q24" s="14">
        <f t="shared" si="2"/>
        <v>1319.9999999999998</v>
      </c>
      <c r="R24" s="3"/>
    </row>
    <row r="25" spans="1:18" s="1" customFormat="1">
      <c r="A25" s="3" t="s">
        <v>50</v>
      </c>
      <c r="B25" s="22">
        <f>IGNORE!B28</f>
        <v>51800</v>
      </c>
      <c r="C25" s="22">
        <f>IGNORE!D28</f>
        <v>54000</v>
      </c>
      <c r="D25" s="7">
        <f t="shared" ref="D25:O26" si="4">+$C25/12</f>
        <v>4500</v>
      </c>
      <c r="E25" s="7">
        <f t="shared" si="4"/>
        <v>4500</v>
      </c>
      <c r="F25" s="7">
        <f t="shared" si="4"/>
        <v>4500</v>
      </c>
      <c r="G25" s="7">
        <f t="shared" si="4"/>
        <v>4500</v>
      </c>
      <c r="H25" s="7">
        <f t="shared" si="4"/>
        <v>4500</v>
      </c>
      <c r="I25" s="7">
        <f t="shared" si="4"/>
        <v>4500</v>
      </c>
      <c r="J25" s="7">
        <f t="shared" si="4"/>
        <v>4500</v>
      </c>
      <c r="K25" s="7">
        <f t="shared" si="4"/>
        <v>4500</v>
      </c>
      <c r="L25" s="7">
        <f t="shared" si="4"/>
        <v>4500</v>
      </c>
      <c r="M25" s="7">
        <f t="shared" si="4"/>
        <v>4500</v>
      </c>
      <c r="N25" s="7">
        <f t="shared" si="4"/>
        <v>4500</v>
      </c>
      <c r="O25" s="7">
        <f t="shared" si="4"/>
        <v>4500</v>
      </c>
      <c r="P25" s="7">
        <f>SUM(D25:O25)</f>
        <v>54000</v>
      </c>
      <c r="Q25" s="14">
        <f>P25*$Q$6</f>
        <v>1620</v>
      </c>
      <c r="R25" s="3"/>
    </row>
    <row r="26" spans="1:18" s="1" customFormat="1">
      <c r="A26" s="3" t="s">
        <v>47</v>
      </c>
      <c r="B26" s="22">
        <f>IGNORE!B29</f>
        <v>87300</v>
      </c>
      <c r="C26" s="22">
        <f>IGNORE!D29</f>
        <v>90000</v>
      </c>
      <c r="D26" s="7">
        <f t="shared" si="4"/>
        <v>7500</v>
      </c>
      <c r="E26" s="7">
        <f t="shared" si="4"/>
        <v>7500</v>
      </c>
      <c r="F26" s="7">
        <f t="shared" si="4"/>
        <v>7500</v>
      </c>
      <c r="G26" s="7">
        <f t="shared" si="4"/>
        <v>7500</v>
      </c>
      <c r="H26" s="7">
        <f t="shared" si="4"/>
        <v>7500</v>
      </c>
      <c r="I26" s="7">
        <f t="shared" si="4"/>
        <v>7500</v>
      </c>
      <c r="J26" s="7">
        <f t="shared" si="4"/>
        <v>7500</v>
      </c>
      <c r="K26" s="7">
        <f t="shared" si="4"/>
        <v>7500</v>
      </c>
      <c r="L26" s="7">
        <f t="shared" si="4"/>
        <v>7500</v>
      </c>
      <c r="M26" s="7">
        <f t="shared" si="4"/>
        <v>7500</v>
      </c>
      <c r="N26" s="7">
        <f t="shared" si="4"/>
        <v>7500</v>
      </c>
      <c r="O26" s="7">
        <f t="shared" si="4"/>
        <v>7500</v>
      </c>
      <c r="P26" s="6">
        <f>SUM(D26:O26)</f>
        <v>90000</v>
      </c>
      <c r="Q26" s="14">
        <f>P26*$Q$6</f>
        <v>2700</v>
      </c>
      <c r="R26" s="3"/>
    </row>
    <row r="27" spans="1:18" s="1" customFormat="1">
      <c r="A27" s="3" t="s">
        <v>72</v>
      </c>
      <c r="B27" s="22">
        <f>IGNORE!B30</f>
        <v>27500</v>
      </c>
      <c r="C27" s="22">
        <f>IGNORE!D30</f>
        <v>28000</v>
      </c>
      <c r="D27" s="7">
        <f t="shared" si="3"/>
        <v>2333.3333333333335</v>
      </c>
      <c r="E27" s="7">
        <f t="shared" si="3"/>
        <v>2333.3333333333335</v>
      </c>
      <c r="F27" s="7">
        <f t="shared" si="3"/>
        <v>2333.3333333333335</v>
      </c>
      <c r="G27" s="7">
        <f t="shared" si="3"/>
        <v>2333.3333333333335</v>
      </c>
      <c r="H27" s="7">
        <f t="shared" si="3"/>
        <v>2333.3333333333335</v>
      </c>
      <c r="I27" s="7">
        <f t="shared" si="3"/>
        <v>2333.3333333333335</v>
      </c>
      <c r="J27" s="7">
        <f t="shared" si="3"/>
        <v>2333.3333333333335</v>
      </c>
      <c r="K27" s="7">
        <f t="shared" si="3"/>
        <v>2333.3333333333335</v>
      </c>
      <c r="L27" s="7">
        <f t="shared" si="3"/>
        <v>2333.3333333333335</v>
      </c>
      <c r="M27" s="7">
        <f t="shared" si="3"/>
        <v>2333.3333333333335</v>
      </c>
      <c r="N27" s="7">
        <f t="shared" si="3"/>
        <v>2333.3333333333335</v>
      </c>
      <c r="O27" s="7">
        <f t="shared" si="3"/>
        <v>2333.3333333333335</v>
      </c>
      <c r="P27" s="6">
        <f t="shared" si="1"/>
        <v>27999.999999999996</v>
      </c>
      <c r="Q27" s="14">
        <f t="shared" si="2"/>
        <v>839.99999999999989</v>
      </c>
      <c r="R27" s="3"/>
    </row>
    <row r="28" spans="1:18" s="1" customFormat="1">
      <c r="A28" s="3" t="s">
        <v>38</v>
      </c>
      <c r="B28" s="22">
        <f>IGNORE!B31</f>
        <v>296400</v>
      </c>
      <c r="C28" s="22">
        <f>IGNORE!D31</f>
        <v>300000</v>
      </c>
      <c r="D28" s="7">
        <f t="shared" si="3"/>
        <v>25000</v>
      </c>
      <c r="E28" s="7">
        <f t="shared" si="3"/>
        <v>25000</v>
      </c>
      <c r="F28" s="7">
        <f t="shared" si="3"/>
        <v>25000</v>
      </c>
      <c r="G28" s="7">
        <f t="shared" si="3"/>
        <v>25000</v>
      </c>
      <c r="H28" s="7">
        <f t="shared" si="3"/>
        <v>25000</v>
      </c>
      <c r="I28" s="7">
        <f t="shared" si="3"/>
        <v>25000</v>
      </c>
      <c r="J28" s="7">
        <f t="shared" si="3"/>
        <v>25000</v>
      </c>
      <c r="K28" s="7">
        <f t="shared" si="3"/>
        <v>25000</v>
      </c>
      <c r="L28" s="7">
        <f t="shared" si="3"/>
        <v>25000</v>
      </c>
      <c r="M28" s="7">
        <f t="shared" si="3"/>
        <v>25000</v>
      </c>
      <c r="N28" s="7">
        <f t="shared" si="3"/>
        <v>25000</v>
      </c>
      <c r="O28" s="7">
        <f t="shared" si="3"/>
        <v>25000</v>
      </c>
      <c r="P28" s="6">
        <f>SUM(D28:O28)</f>
        <v>300000</v>
      </c>
      <c r="Q28" s="14">
        <f t="shared" si="2"/>
        <v>9000</v>
      </c>
      <c r="R28" s="3"/>
    </row>
    <row r="29" spans="1:18" s="1" customFormat="1">
      <c r="A29" s="3" t="s">
        <v>37</v>
      </c>
      <c r="B29" s="22">
        <f>IGNORE!B32</f>
        <v>144100</v>
      </c>
      <c r="C29" s="22">
        <f>IGNORE!D32</f>
        <v>147000</v>
      </c>
      <c r="D29" s="7">
        <f t="shared" si="3"/>
        <v>12250</v>
      </c>
      <c r="E29" s="7">
        <f t="shared" si="3"/>
        <v>12250</v>
      </c>
      <c r="F29" s="7">
        <f t="shared" si="3"/>
        <v>12250</v>
      </c>
      <c r="G29" s="7">
        <f t="shared" si="3"/>
        <v>12250</v>
      </c>
      <c r="H29" s="7">
        <f t="shared" si="3"/>
        <v>12250</v>
      </c>
      <c r="I29" s="7">
        <f t="shared" si="3"/>
        <v>12250</v>
      </c>
      <c r="J29" s="7">
        <f t="shared" si="3"/>
        <v>12250</v>
      </c>
      <c r="K29" s="7">
        <f t="shared" si="3"/>
        <v>12250</v>
      </c>
      <c r="L29" s="7">
        <f t="shared" si="3"/>
        <v>12250</v>
      </c>
      <c r="M29" s="7">
        <f t="shared" si="3"/>
        <v>12250</v>
      </c>
      <c r="N29" s="7">
        <f t="shared" si="3"/>
        <v>12250</v>
      </c>
      <c r="O29" s="7">
        <f t="shared" si="3"/>
        <v>12250</v>
      </c>
      <c r="P29" s="6">
        <f>SUM(D29:O29)</f>
        <v>147000</v>
      </c>
      <c r="Q29" s="14">
        <f t="shared" si="2"/>
        <v>4410</v>
      </c>
      <c r="R29" s="3"/>
    </row>
    <row r="30" spans="1:18" s="1" customFormat="1">
      <c r="A30" s="3" t="s">
        <v>51</v>
      </c>
      <c r="B30" s="22"/>
      <c r="C30" s="22">
        <f>IGNORE!D37</f>
        <v>0</v>
      </c>
      <c r="D30" s="7">
        <f t="shared" si="3"/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7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6">
        <f>SUM(D30:O30)</f>
        <v>0</v>
      </c>
      <c r="Q30" s="14">
        <f t="shared" si="2"/>
        <v>0</v>
      </c>
      <c r="R30" s="3"/>
    </row>
    <row r="31" spans="1:18" s="1" customFormat="1">
      <c r="A31" s="3" t="s">
        <v>64</v>
      </c>
      <c r="B31" s="22"/>
      <c r="C31" s="22">
        <f>IGNORE!D38</f>
        <v>0</v>
      </c>
      <c r="D31" s="7">
        <f t="shared" si="3"/>
        <v>0</v>
      </c>
      <c r="E31" s="7">
        <f t="shared" si="3"/>
        <v>0</v>
      </c>
      <c r="F31" s="7">
        <f t="shared" si="3"/>
        <v>0</v>
      </c>
      <c r="G31" s="7">
        <f t="shared" si="3"/>
        <v>0</v>
      </c>
      <c r="H31" s="7">
        <f t="shared" si="3"/>
        <v>0</v>
      </c>
      <c r="I31" s="7">
        <f t="shared" si="3"/>
        <v>0</v>
      </c>
      <c r="J31" s="7">
        <f t="shared" si="3"/>
        <v>0</v>
      </c>
      <c r="K31" s="7">
        <f t="shared" si="3"/>
        <v>0</v>
      </c>
      <c r="L31" s="7">
        <f t="shared" si="3"/>
        <v>0</v>
      </c>
      <c r="M31" s="7">
        <f t="shared" si="3"/>
        <v>0</v>
      </c>
      <c r="N31" s="7">
        <f t="shared" si="3"/>
        <v>0</v>
      </c>
      <c r="O31" s="7">
        <f t="shared" si="3"/>
        <v>0</v>
      </c>
      <c r="P31" s="6">
        <f>SUM(D31:O31)</f>
        <v>0</v>
      </c>
      <c r="Q31" s="14">
        <f t="shared" si="2"/>
        <v>0</v>
      </c>
      <c r="R31" s="3"/>
    </row>
    <row r="32" spans="1:18" s="1" customFormat="1">
      <c r="A32" s="3" t="s">
        <v>22</v>
      </c>
      <c r="B32" s="8">
        <f t="shared" ref="B32:Q32" si="5">SUM(B8:B31)</f>
        <v>2369425</v>
      </c>
      <c r="C32" s="8">
        <f t="shared" si="5"/>
        <v>2375525</v>
      </c>
      <c r="D32" s="8">
        <f t="shared" si="5"/>
        <v>197960.41666666669</v>
      </c>
      <c r="E32" s="8">
        <f t="shared" si="5"/>
        <v>197960.41666666669</v>
      </c>
      <c r="F32" s="8">
        <f t="shared" si="5"/>
        <v>197960.41666666669</v>
      </c>
      <c r="G32" s="8">
        <f t="shared" si="5"/>
        <v>197960.41666666669</v>
      </c>
      <c r="H32" s="8">
        <f t="shared" si="5"/>
        <v>499732.41666666669</v>
      </c>
      <c r="I32" s="8">
        <f t="shared" si="5"/>
        <v>197960.41666666669</v>
      </c>
      <c r="J32" s="8">
        <f t="shared" si="5"/>
        <v>197960.41666666669</v>
      </c>
      <c r="K32" s="8">
        <f t="shared" si="5"/>
        <v>197960.41666666669</v>
      </c>
      <c r="L32" s="8">
        <f t="shared" si="5"/>
        <v>197960.41666666669</v>
      </c>
      <c r="M32" s="8">
        <f t="shared" si="5"/>
        <v>197960.41666666669</v>
      </c>
      <c r="N32" s="8">
        <f t="shared" si="5"/>
        <v>197960.41666666669</v>
      </c>
      <c r="O32" s="8">
        <f t="shared" si="5"/>
        <v>197960.41666666669</v>
      </c>
      <c r="P32" s="8">
        <f t="shared" si="5"/>
        <v>2677297</v>
      </c>
      <c r="Q32" s="8">
        <f t="shared" si="5"/>
        <v>56265.75</v>
      </c>
      <c r="R32" s="3"/>
    </row>
    <row r="33" spans="1:18" s="1" customFormat="1" ht="16.5" customHeight="1">
      <c r="A33" s="3"/>
      <c r="B33" s="22"/>
      <c r="C33" s="22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6"/>
      <c r="Q33" s="9"/>
      <c r="R33" s="3"/>
    </row>
    <row r="34" spans="1:18" s="1" customFormat="1" ht="16.5" customHeight="1">
      <c r="A34" s="21" t="s">
        <v>75</v>
      </c>
      <c r="B34" s="34">
        <v>245000</v>
      </c>
      <c r="C34" s="22"/>
      <c r="D34" s="15" t="str">
        <f>IF((SUM(D28:D28))&gt;$B$34,(-(SUM(D28:D28))+$B$34)," ")</f>
        <v xml:space="preserve"> </v>
      </c>
      <c r="E34" s="15" t="str">
        <f>IF((SUM(D28:E28))&gt;$B$34,(-(SUM(D28:E28))+$B$34)-D34," ")</f>
        <v xml:space="preserve"> </v>
      </c>
      <c r="F34" s="15" t="str">
        <f>IF((SUM(D28:F28))&gt;$B$34,(-(SUM(D28:F28))+$B$34)-SUM(D34:E34)," ")</f>
        <v xml:space="preserve"> </v>
      </c>
      <c r="G34" s="15" t="str">
        <f>IF((SUM(D28:G28))&gt;$B$34,(-(SUM(D28:G28))+$B$34)-SUM(D34:F34)," ")</f>
        <v xml:space="preserve"> </v>
      </c>
      <c r="H34" s="15" t="str">
        <f>IF((SUM(D28:H28))&gt;$B$34,(-(SUM(D28:H28))+$B$34)-SUM(D34:G34)," ")</f>
        <v xml:space="preserve"> </v>
      </c>
      <c r="I34" s="15" t="str">
        <f>IF((SUM(D28:I28))&gt;$B$34,(-(SUM(D28:I28))+$B$34)-SUM(D34:H34)," ")</f>
        <v xml:space="preserve"> </v>
      </c>
      <c r="J34" s="15" t="str">
        <f>IF((SUM(D28:J28))&gt;$B$34,(-(SUM(D28:J28))+$B$34)-SUM(D34:I34)," ")</f>
        <v xml:space="preserve"> </v>
      </c>
      <c r="K34" s="15" t="str">
        <f>IF((SUM(D28:K28))&gt;$B$34,(-(SUM(D28:K28))+$B$34)-SUM(D34:J34)," ")</f>
        <v xml:space="preserve"> </v>
      </c>
      <c r="L34" s="15" t="str">
        <f>IF((SUM(D28:L28))&gt;$B$34,(-(SUM(D28:L28))+$B$34)-SUM(D34:K34)," ")</f>
        <v xml:space="preserve"> </v>
      </c>
      <c r="M34" s="15">
        <f>IF((SUM(D28:M28))&gt;$B$34,(-(SUM(D28:M28))+$B$34)-SUM(D34:L34)," ")</f>
        <v>-5000</v>
      </c>
      <c r="N34" s="15">
        <f>IF((SUM(D28:N28))&gt;$B$34,(-(SUM(D28:N28))+$B$34)-SUM(D34:M34)," ")</f>
        <v>-25000</v>
      </c>
      <c r="O34" s="15">
        <f>IF((SUM(D28:O28))&gt;$B$34,(-(SUM(D28:O28))+$B$34)-SUM(D34:N34)," ")</f>
        <v>-25000</v>
      </c>
      <c r="P34" s="6">
        <f>SUM(D34:O34)</f>
        <v>-55000</v>
      </c>
      <c r="Q34" s="15">
        <f>IF((SUM(D28:O28)+Q28)&gt;$B$34,(-(SUM(D28:O28)+Q28)+$B$34)-SUM(D34:O34)," ")</f>
        <v>-9000</v>
      </c>
      <c r="R34" s="3"/>
    </row>
    <row r="35" spans="1:18" s="1" customFormat="1" ht="16.5" customHeight="1">
      <c r="A35" s="21" t="s">
        <v>76</v>
      </c>
      <c r="B35" s="34">
        <v>245000</v>
      </c>
      <c r="C35" s="22"/>
      <c r="D35" s="15" t="str">
        <f>IF((SUM(D23:D23))&gt;$B$35,(-(SUM(D23:D23))+$B$35)," ")</f>
        <v xml:space="preserve"> </v>
      </c>
      <c r="E35" s="15" t="str">
        <f>IF((SUM(D23:E23))&gt;$B$35,(-(SUM(D23:E23))+$B$35)-D35," ")</f>
        <v xml:space="preserve"> </v>
      </c>
      <c r="F35" s="15" t="str">
        <f>IF((SUM(D23:F23))&gt;$B$35,(-(SUM(D23:F23))+$B$35)-SUM(D35:E35)," ")</f>
        <v xml:space="preserve"> </v>
      </c>
      <c r="G35" s="15" t="str">
        <f>IF((SUM(D23:G23))&gt;$B$35,(-(SUM(D23:G23))+$B$35)-SUM(D35:F35)," ")</f>
        <v xml:space="preserve"> </v>
      </c>
      <c r="H35" s="15" t="str">
        <f>IF((SUM(D23:H23))&gt;$B$35,(-(SUM(D23:H23))+$B$35)-SUM(D35:G35)," ")</f>
        <v xml:space="preserve"> </v>
      </c>
      <c r="I35" s="15" t="str">
        <f>IF((SUM(D23:I23))&gt;$B$35,(-(SUM(D23:I23))+$B$35)-SUM(D35:H35)," ")</f>
        <v xml:space="preserve"> </v>
      </c>
      <c r="J35" s="15" t="str">
        <f>IF((SUM(D23:J23))&gt;$B$35,(-(SUM(D23:J23))+$B$35)-SUM(D35:I35)," ")</f>
        <v xml:space="preserve"> </v>
      </c>
      <c r="K35" s="15" t="str">
        <f>IF((SUM(D23:K23))&gt;$B$35,(-(SUM(D23:K23))+$B$35)-SUM(D35:J35)," ")</f>
        <v xml:space="preserve"> </v>
      </c>
      <c r="L35" s="15" t="str">
        <f>IF((SUM(D23:L23))&gt;$B$35,(-(SUM(D23:L23))+$B$35)-SUM(D35:K35)," ")</f>
        <v xml:space="preserve"> </v>
      </c>
      <c r="M35" s="15" t="str">
        <f>IF((SUM(D23:M23))&gt;$B$35,(-(SUM(D23:M23))+$B$35)-SUM(D35:L35)," ")</f>
        <v xml:space="preserve"> </v>
      </c>
      <c r="N35" s="15" t="str">
        <f>IF((SUM(D23:N23))&gt;$B$35,(-(SUM(D23:N23))+$B$35)-SUM(D35:M35)," ")</f>
        <v xml:space="preserve"> </v>
      </c>
      <c r="O35" s="15">
        <f>IF((SUM(D23:O23))&gt;$B$35,(-(SUM(D23:O23))+$B$35)-SUM(D35:N35)," ")</f>
        <v>-13000</v>
      </c>
      <c r="P35" s="6">
        <f>SUM(D35:O35)</f>
        <v>-13000</v>
      </c>
      <c r="Q35" s="15">
        <f>IF((SUM(D23:O23)+Q23)&gt;$B$35,(-(SUM(D23:O23)+Q23)+$B$35)-SUM(D35:O35)," ")</f>
        <v>-7740</v>
      </c>
      <c r="R35" s="3"/>
    </row>
    <row r="36" spans="1:18" s="1" customFormat="1" ht="16.5" customHeight="1">
      <c r="A36" s="21" t="s">
        <v>77</v>
      </c>
      <c r="B36" s="34">
        <v>245000</v>
      </c>
      <c r="C36" s="22"/>
      <c r="D36" s="15" t="str">
        <f>IF((SUM(D14:D15))&gt;$B$36,(-(SUM(D14:D15))+$B$36)," ")</f>
        <v xml:space="preserve"> </v>
      </c>
      <c r="E36" s="15" t="str">
        <f>IF((SUM(D14:E15))&gt;$B$36,(-(SUM(D14:E15))+$B$36)-D36," ")</f>
        <v xml:space="preserve"> </v>
      </c>
      <c r="F36" s="15" t="str">
        <f>IF((SUM(D14:F15))&gt;$B$36,(-(SUM(D14:F15))+$B$36)-SUM(D36:E36)," ")</f>
        <v xml:space="preserve"> </v>
      </c>
      <c r="G36" s="15" t="str">
        <f>IF((SUM(D14:G15))&gt;$B$36,(-(SUM(D14:G15))+$B$36)-SUM(D36:F36)," ")</f>
        <v xml:space="preserve"> </v>
      </c>
      <c r="H36" s="15">
        <f>IF((SUM(D14:H15))&gt;$B$36,(-(SUM(D14:H15))+$B$36)-SUM(D36:G36)," ")</f>
        <v>-265105.33333333331</v>
      </c>
      <c r="I36" s="15">
        <f>IF((SUM(D14:I15))&gt;$B$36,(-(SUM(D14:I15))+$B$36)-SUM(D36:H36)," ")</f>
        <v>-41666.666666666686</v>
      </c>
      <c r="J36" s="15">
        <f>IF((SUM(D14:J15))&gt;$B$36,(-(SUM(D14:J15))+$B$36)-SUM(D36:I36)," ")</f>
        <v>-41666.666666666628</v>
      </c>
      <c r="K36" s="15">
        <f>IF((SUM(D14:K15))&gt;$B$36,(-(SUM(D14:K15))+$B$36)-SUM(D36:J36)," ")</f>
        <v>-41666.666666666628</v>
      </c>
      <c r="L36" s="15">
        <f>IF((SUM(D14:L15))&gt;$B$36,(-(SUM(D14:L15))+$B$36)-SUM(D36:K36)," ")</f>
        <v>-41666.666666666744</v>
      </c>
      <c r="M36" s="15">
        <f>IF((SUM(D14:M15))&gt;$B$36,(-(SUM(D14:M15))+$B$36)-SUM(D36:L36)," ")</f>
        <v>-41666.666666666744</v>
      </c>
      <c r="N36" s="15">
        <f>IF((SUM(D14:N15))&gt;$B$36,(-(SUM(D14:N15))+$B$36)-SUM(D36:M36)," ")</f>
        <v>-41666.666666666628</v>
      </c>
      <c r="O36" s="15">
        <f>IF((SUM(D14:O15))&gt;$B$36,(-(SUM(D14:O15))+$B$36)-SUM(D36:N36)," ")</f>
        <v>-41666.666666666628</v>
      </c>
      <c r="P36" s="15">
        <f>SUM(D36:O36)</f>
        <v>-556772</v>
      </c>
      <c r="Q36" s="15">
        <f>IF((SUM(D14:O15)+Q14+Q15)&gt;$B$34,(-(SUM(D14:O15)+Q14+Q15)+$B$34)-SUM(D36:O36)," ")</f>
        <v>0</v>
      </c>
      <c r="R36" s="3"/>
    </row>
    <row r="37" spans="1:18" s="1" customFormat="1" ht="16.5" customHeight="1">
      <c r="A37" s="3"/>
      <c r="B37" s="22"/>
      <c r="C37" s="2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"/>
    </row>
    <row r="38" spans="1:18" s="1" customFormat="1" ht="16.5" customHeight="1" thickBot="1">
      <c r="A38" s="3" t="s">
        <v>53</v>
      </c>
      <c r="B38" s="22"/>
      <c r="C38" s="22"/>
      <c r="D38" s="19">
        <f>SUM(D32:D37)</f>
        <v>197960.41666666669</v>
      </c>
      <c r="E38" s="19">
        <f t="shared" ref="E38:Q38" si="6">SUM(E32:E37)</f>
        <v>197960.41666666669</v>
      </c>
      <c r="F38" s="19">
        <f t="shared" si="6"/>
        <v>197960.41666666669</v>
      </c>
      <c r="G38" s="19">
        <f t="shared" si="6"/>
        <v>197960.41666666669</v>
      </c>
      <c r="H38" s="19">
        <f t="shared" si="6"/>
        <v>234627.08333333337</v>
      </c>
      <c r="I38" s="19">
        <f t="shared" si="6"/>
        <v>156293.75</v>
      </c>
      <c r="J38" s="19">
        <f t="shared" si="6"/>
        <v>156293.75000000006</v>
      </c>
      <c r="K38" s="19">
        <f>SUM(K32:K37)</f>
        <v>156293.75000000006</v>
      </c>
      <c r="L38" s="19">
        <f t="shared" si="6"/>
        <v>156293.74999999994</v>
      </c>
      <c r="M38" s="19">
        <f t="shared" si="6"/>
        <v>151293.74999999994</v>
      </c>
      <c r="N38" s="19">
        <f t="shared" si="6"/>
        <v>131293.75000000006</v>
      </c>
      <c r="O38" s="19">
        <f t="shared" si="6"/>
        <v>118293.75000000006</v>
      </c>
      <c r="P38" s="19">
        <f t="shared" si="6"/>
        <v>2052525</v>
      </c>
      <c r="Q38" s="19">
        <f t="shared" si="6"/>
        <v>39525.75</v>
      </c>
      <c r="R38" s="3"/>
    </row>
    <row r="39" spans="1:18" s="1" customFormat="1" ht="16.5" customHeight="1" thickTop="1">
      <c r="A39" s="3" t="s">
        <v>54</v>
      </c>
      <c r="B39" s="22">
        <v>0.15</v>
      </c>
      <c r="C39" s="22"/>
      <c r="D39" s="6">
        <f>+D38*$B39</f>
        <v>29694.0625</v>
      </c>
      <c r="E39" s="6">
        <f>+E38*$B39</f>
        <v>29694.0625</v>
      </c>
      <c r="F39" s="6">
        <f t="shared" ref="F39:O39" si="7">+F38*$B39</f>
        <v>29694.0625</v>
      </c>
      <c r="G39" s="6">
        <f t="shared" si="7"/>
        <v>29694.0625</v>
      </c>
      <c r="H39" s="6">
        <f t="shared" si="7"/>
        <v>35194.062500000007</v>
      </c>
      <c r="I39" s="6">
        <f t="shared" si="7"/>
        <v>23444.0625</v>
      </c>
      <c r="J39" s="6">
        <f t="shared" si="7"/>
        <v>23444.062500000007</v>
      </c>
      <c r="K39" s="6">
        <f t="shared" si="7"/>
        <v>23444.062500000007</v>
      </c>
      <c r="L39" s="6">
        <f t="shared" si="7"/>
        <v>23444.062499999989</v>
      </c>
      <c r="M39" s="6">
        <f t="shared" si="7"/>
        <v>22694.062499999989</v>
      </c>
      <c r="N39" s="6">
        <f t="shared" si="7"/>
        <v>19694.062500000007</v>
      </c>
      <c r="O39" s="6">
        <f t="shared" si="7"/>
        <v>17744.062500000007</v>
      </c>
      <c r="P39" s="6"/>
      <c r="Q39" s="6">
        <f>+Q38*$B39</f>
        <v>5928.8625000000002</v>
      </c>
    </row>
    <row r="40" spans="1:18" s="1" customFormat="1">
      <c r="A40" s="3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8">
        <f>SUM(D39:Q39)</f>
        <v>313807.61249999999</v>
      </c>
      <c r="R40" s="3"/>
    </row>
    <row r="41" spans="1:18" s="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1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1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1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1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1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1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1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1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1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1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1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1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1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1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1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1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1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1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1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1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1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1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1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s="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s="1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1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s="1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1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1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1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1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1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1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1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1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1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1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1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1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1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1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1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1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1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1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1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1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1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1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1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1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1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1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1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</sheetData>
  <mergeCells count="5">
    <mergeCell ref="A1:Q1"/>
    <mergeCell ref="A2:Q2"/>
    <mergeCell ref="A3:Q3"/>
    <mergeCell ref="D5:O5"/>
    <mergeCell ref="H4:I4"/>
  </mergeCells>
  <pageMargins left="0.5" right="0" top="0.3" bottom="0.3" header="0.5" footer="0.25"/>
  <pageSetup paperSize="5" scale="68" fitToHeight="2" orientation="landscape" r:id="rId1"/>
  <headerFooter alignWithMargins="0">
    <oddFooter>&amp;L&amp;8&amp;Z&amp;F&amp;A&amp;C&amp;8&amp;D&amp;T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FICA</vt:lpstr>
      <vt:lpstr>Footnotes</vt:lpstr>
      <vt:lpstr>Excess Wages</vt:lpstr>
      <vt:lpstr>IGNORE</vt:lpstr>
      <vt:lpstr>SEP contribution</vt:lpstr>
    </vt:vector>
  </TitlesOfParts>
  <Company>Bradley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2012-01-19T20:26:03Z</cp:lastPrinted>
  <dcterms:created xsi:type="dcterms:W3CDTF">2003-09-22T23:21:30Z</dcterms:created>
  <dcterms:modified xsi:type="dcterms:W3CDTF">2012-02-02T22:35:19Z</dcterms:modified>
</cp:coreProperties>
</file>