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F18" i="1"/>
  <c r="F20"/>
  <c r="D20"/>
  <c r="F6"/>
  <c r="D6"/>
  <c r="R6" s="1"/>
  <c r="P24"/>
  <c r="N24"/>
  <c r="L24"/>
  <c r="J24"/>
  <c r="H24"/>
  <c r="H20"/>
  <c r="F21"/>
  <c r="D7"/>
  <c r="R7"/>
  <c r="H8"/>
  <c r="D8" s="1"/>
  <c r="F9"/>
  <c r="F13" s="1"/>
  <c r="H9"/>
  <c r="J9"/>
  <c r="L9"/>
  <c r="N9"/>
  <c r="P9"/>
  <c r="D18"/>
  <c r="J20"/>
  <c r="J22" s="1"/>
  <c r="D21"/>
  <c r="D22" s="1"/>
  <c r="H22"/>
  <c r="L22"/>
  <c r="N22"/>
  <c r="P22"/>
  <c r="H23"/>
  <c r="D31"/>
  <c r="F32" s="1"/>
  <c r="F40"/>
  <c r="R20" l="1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<sst xmlns="http://schemas.openxmlformats.org/spreadsheetml/2006/main" count="80" uniqueCount="57">
  <si>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</si>
  <si>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</si>
  <si>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</si>
  <si>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</si>
  <si>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</si>
  <si>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</si>
  <si>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</si>
  <si>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</si>
  <si>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</si>
  <si>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</si>
  <si>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</si>
  <si>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>Includes: Charter, MPM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</si>
  <si>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</si>
  <si>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</si>
  <si>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</si>
  <si>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</si>
  <si>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</si>
  <si>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</si>
  <si>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</si>
  <si>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</si>
  <si>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</si>
  <si>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</si>
  <si>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</si>
  <si>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</si>
  <si>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</si>
  <si>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</si>
  <si>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</si>
  <si>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</si>
  <si>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</si>
  <si>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</si>
  <si>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</si>
  <si>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</si>
  <si>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</si>
  <si>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</si>
  <si>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</si>
  <si>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</si>
  <si>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</si>
  <si>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</si>
  <si>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</si>
  <si>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</si>
  <si>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</si>
  <si>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</si>
  <si>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</si>
  <si>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</si>
  <si>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</si>
  <si>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</si>
  <si>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</si>
  <si>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</si>
  <si>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</si>
  <si>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</si>
  <si>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</si>
  <si>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</si>
  <si>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</si>
  <si>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</si>
  <si>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Actual Year to Date rate of return (7 months)</t>
  </si>
  <si>
    <t>*</t>
  </si>
  <si>
    <t>*ACRI $1,550,000 not included as it is separate from budgeted grants.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</si>
</sst>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4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9" fontId="4" fillId="2" borderId="0" xfId="0" quotePrefix="1" applyNumberFormat="1" applyFont="1"/>
    <xf numFmtId="0" fontId="4" fillId="2" borderId="0" xfId="0" applyNumberFormat="1" applyFont="1" applyAlignment="1">
      <alignment horizontal="lef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39294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20155163</v>
      </c>
      <c r="E6" s="72" t="s">
        <v>55</v>
      </c>
      <c r="F6" s="20">
        <f>21705163-1550000</f>
        <v>20155163</v>
      </c>
      <c r="G6" s="20" t="s">
        <v>55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5369000</v>
      </c>
      <c r="E7" s="5"/>
      <c r="F7" s="20">
        <v>5369000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10000000</v>
      </c>
      <c r="E8" s="5"/>
      <c r="F8" s="20">
        <v>3000000</v>
      </c>
      <c r="G8" s="5"/>
      <c r="H8" s="20">
        <f>3000000+1000000</f>
        <v>4000000</v>
      </c>
      <c r="I8" s="5"/>
      <c r="J8" s="20">
        <v>3000000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11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12</v>
      </c>
      <c r="B9" s="5"/>
      <c r="C9" s="5"/>
      <c r="D9" s="25">
        <f>SUM(D6:D8)</f>
        <v>35524163</v>
      </c>
      <c r="E9" s="5"/>
      <c r="F9" s="25">
        <f>SUM(F6:F8)</f>
        <v>28524163</v>
      </c>
      <c r="G9" s="23"/>
      <c r="H9" s="26">
        <f>SUM(H6:H8)</f>
        <v>4000000</v>
      </c>
      <c r="I9" s="23"/>
      <c r="J9" s="26">
        <f>SUM(J6:J8)</f>
        <v>3000000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13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14</v>
      </c>
      <c r="B11" s="5"/>
      <c r="C11" s="5"/>
      <c r="D11" s="18"/>
      <c r="E11" s="5"/>
      <c r="F11" s="28">
        <v>36000000</v>
      </c>
      <c r="G11" s="23"/>
      <c r="H11" s="73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15</v>
      </c>
      <c r="B13" s="5"/>
      <c r="C13" s="5"/>
      <c r="D13" s="18"/>
      <c r="E13" s="5"/>
      <c r="F13" s="39">
        <f>F9/F11</f>
        <v>0.79233786111111115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16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17</v>
      </c>
    </row>
    <row r="18" spans="1:256">
      <c r="A18" s="5" t="s">
        <v>18</v>
      </c>
      <c r="B18" s="5"/>
      <c r="C18" s="5"/>
      <c r="D18" s="20">
        <f>F18</f>
        <v>19328913</v>
      </c>
      <c r="E18" s="72" t="s">
        <v>55</v>
      </c>
      <c r="F18" s="20">
        <f>19978913-650000</f>
        <v>19328913</v>
      </c>
      <c r="G18" s="72" t="s">
        <v>55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19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20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21</v>
      </c>
      <c r="B20" s="5"/>
      <c r="C20" s="23"/>
      <c r="D20" s="20">
        <f>10176250-900000</f>
        <v>9276250</v>
      </c>
      <c r="E20" s="72" t="s">
        <v>55</v>
      </c>
      <c r="F20" s="20">
        <f>11028750-3000000-900000</f>
        <v>7128750</v>
      </c>
      <c r="G20" s="72" t="s">
        <v>55</v>
      </c>
      <c r="H20" s="20">
        <f>6147500-3000000-1000000</f>
        <v>2147500</v>
      </c>
      <c r="I20" s="19"/>
      <c r="J20" s="20">
        <f>3000000-3000000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22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23</v>
      </c>
      <c r="B21" s="5"/>
      <c r="C21" s="24"/>
      <c r="D21" s="20">
        <f>F7</f>
        <v>5369000</v>
      </c>
      <c r="E21" s="20"/>
      <c r="F21" s="20">
        <f>5369000-2377500</f>
        <v>2991500</v>
      </c>
      <c r="G21" s="19"/>
      <c r="H21" s="20">
        <v>2377500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24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25</v>
      </c>
      <c r="B22" s="5"/>
      <c r="C22" s="5"/>
      <c r="D22" s="33">
        <f>SUM(D20:D21)</f>
        <v>14645250</v>
      </c>
      <c r="E22" s="19"/>
      <c r="F22" s="33">
        <f>SUM(F20:F21)</f>
        <v>10120250</v>
      </c>
      <c r="G22" s="5"/>
      <c r="H22" s="33">
        <f>SUM(H20:H21)</f>
        <v>4525000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26</v>
      </c>
      <c r="B23" s="5"/>
      <c r="C23" s="5"/>
      <c r="D23" s="34">
        <f>D8</f>
        <v>10000000</v>
      </c>
      <c r="E23" s="5"/>
      <c r="F23" s="20">
        <v>3000000</v>
      </c>
      <c r="G23" s="5"/>
      <c r="H23" s="20">
        <f>3000000+1000000</f>
        <v>4000000</v>
      </c>
      <c r="I23" s="5"/>
      <c r="J23" s="20">
        <v>3000000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27</v>
      </c>
      <c r="B24" s="5"/>
      <c r="C24" s="5"/>
      <c r="D24" s="25">
        <f>SUM(D18+D22+D23)</f>
        <v>43974163</v>
      </c>
      <c r="E24" s="5"/>
      <c r="F24" s="25">
        <f>SUM(F18+F22+F23)</f>
        <v>32449163</v>
      </c>
      <c r="G24" s="23"/>
      <c r="H24" s="25">
        <f>SUM(H22+H23)</f>
        <v>8525000</v>
      </c>
      <c r="I24" s="23"/>
      <c r="J24" s="25">
        <f>SUM(J22+J23)</f>
        <v>3000000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28</v>
      </c>
      <c r="B26" s="5"/>
      <c r="C26" s="5"/>
      <c r="D26" s="5"/>
      <c r="E26" s="5"/>
      <c r="F26" s="28">
        <v>36000000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15</v>
      </c>
      <c r="B28" s="5"/>
      <c r="C28" s="5"/>
      <c r="D28" s="5"/>
      <c r="E28" s="5"/>
      <c r="F28" s="39">
        <f>F24/F26</f>
        <v>0.90136563888888888</v>
      </c>
      <c r="G28" s="23"/>
      <c r="H28" s="40" t="s">
        <v>29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30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31</v>
      </c>
      <c r="B30" s="5"/>
      <c r="C30" s="5"/>
      <c r="D30" s="5"/>
      <c r="E30" s="19"/>
      <c r="F30" s="5"/>
      <c r="G30" s="35"/>
      <c r="H30" s="46" t="s">
        <v>32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33</v>
      </c>
      <c r="B31" s="5"/>
      <c r="C31" s="5"/>
      <c r="D31" s="47">
        <f>D20</f>
        <v>9276250</v>
      </c>
      <c r="E31" s="19"/>
      <c r="F31" s="5"/>
      <c r="G31" s="35"/>
      <c r="H31" s="46" t="s">
        <v>34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35</v>
      </c>
      <c r="B32" s="5"/>
      <c r="C32" s="48"/>
      <c r="D32" s="49"/>
      <c r="E32" s="23"/>
      <c r="F32" s="50">
        <f>D31/31122333</f>
        <v>0.29805766810605105</v>
      </c>
      <c r="G32" s="50" t="s">
        <v>36</v>
      </c>
      <c r="H32" s="43" t="s">
        <v>37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38</v>
      </c>
      <c r="B33" s="23"/>
      <c r="C33" s="23"/>
      <c r="D33" s="23"/>
      <c r="E33" s="23"/>
      <c r="F33" s="50">
        <f>(+D31+D23)/31122333</f>
        <v>0.6193703409059983</v>
      </c>
      <c r="G33" s="50" t="s">
        <v>36</v>
      </c>
      <c r="H33" s="46" t="s">
        <v>39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40</v>
      </c>
      <c r="B34" s="5"/>
      <c r="C34" s="5"/>
      <c r="D34" s="5"/>
      <c r="E34" s="5"/>
      <c r="F34" s="50">
        <v>0.5</v>
      </c>
      <c r="G34" s="50" t="s">
        <v>36</v>
      </c>
      <c r="H34" s="43" t="s">
        <v>41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42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43</v>
      </c>
      <c r="F36" s="51"/>
      <c r="H36" s="46" t="s">
        <v>44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45</v>
      </c>
      <c r="B37" s="23"/>
      <c r="C37" s="23"/>
      <c r="D37" s="23"/>
      <c r="E37" s="23"/>
      <c r="F37" s="52"/>
      <c r="G37" s="23"/>
      <c r="H37" s="46" t="s">
        <v>46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47</v>
      </c>
      <c r="B38" s="5"/>
      <c r="C38" s="5"/>
      <c r="D38" s="5"/>
      <c r="E38" s="45"/>
      <c r="F38" s="54">
        <v>7.3400000000000007E-2</v>
      </c>
      <c r="G38" s="23"/>
      <c r="H38" s="46" t="s">
        <v>48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49</v>
      </c>
      <c r="B39" s="5"/>
      <c r="C39" s="5"/>
      <c r="D39" s="5"/>
      <c r="E39" s="45"/>
      <c r="F39" s="54">
        <v>2.1600000000000001E-2</v>
      </c>
      <c r="G39" s="23"/>
      <c r="H39" s="46" t="s">
        <v>50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51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52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53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7.5999999999999998E-2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2007-08-27T19:38:24Z</cp:lastPrinted>
  <dcterms:created xsi:type="dcterms:W3CDTF">2007-07-05T17:08:59Z</dcterms:created>
  <dcterms:modified xsi:type="dcterms:W3CDTF">2007-08-27T19:38:50Z</dcterms:modified>
</cp:coreProperties>
</file>