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D13" i="1" l="1"/>
  <c r="D14" i="1" l="1"/>
  <c r="D16" i="1"/>
  <c r="F8" i="1"/>
  <c r="F23" i="1" l="1"/>
  <c r="H26" i="1" l="1"/>
  <c r="H24" i="1"/>
  <c r="H8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5" i="1"/>
  <c r="F27" i="1" s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<sst xmlns="http://schemas.openxmlformats.org/spreadsheetml/2006/main" count="80" uniqueCount="63">
  <si>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</si>
  <si>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</si>
  <si>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</si>
  <si>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</si>
  <si>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</si>
  <si>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</si>
  <si>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</si>
  <si>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</si>
  <si>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</si>
  <si>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</si>
  <si>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</si>
  <si>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</si>
  <si>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</si>
  <si>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</si>
  <si>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</si>
  <si>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</si>
  <si>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</si>
  <si>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</si>
  <si>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</si>
  <si>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</si>
  <si>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</si>
  <si>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</si>
  <si>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</si>
  <si>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</si>
  <si>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</si>
  <si>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</si>
  <si>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</si>
  <si>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</si>
  <si>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</si>
  <si>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</si>
  <si>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</si>
  <si>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</si>
  <si>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</si>
  <si>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</si>
  <si>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</si>
  <si>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</si>
  <si>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</si>
  <si>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</si>
  <si>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</si>
  <si>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</si>
  <si>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</si>
  <si>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</si>
  <si>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</si>
  <si>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</si>
  <si>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</si>
  <si>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</si>
  <si>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</si>
  <si>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</si>
  <si>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</si>
  <si>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</si>
  <si>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</si>
  <si>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</si>
  <si>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</si>
  <si>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</si>
  <si>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  Grant commitments</t>
  </si>
  <si>
    <t xml:space="preserve">     Actual Year to Date rate of return (10 months)</t>
  </si>
  <si>
    <t xml:space="preserve">     Grant Commitments, Note 3 (BFs &amp; Enc.)</t>
  </si>
  <si>
    <t xml:space="preserve">     Donor Intent grants (Keiser)</t>
  </si>
  <si>
    <t xml:space="preserve">   (4) Non-Budget Grant Awards:</t>
  </si>
  <si>
    <t xml:space="preserve">    Grants awarded that are not part of current year budget.</t>
  </si>
  <si>
    <t xml:space="preserve">     Non-budget grants, Note 4 (Gifted Education)</t>
  </si>
  <si>
    <t xml:space="preserve">     Total current year  grants, from above</t>
  </si>
  <si>
    <t xml:space="preserve">     Total 2012 Grants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</si>
</sst>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A16" sqref="A1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41213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G3" s="9"/>
      <c r="H3" s="78" t="s">
        <v>2</v>
      </c>
      <c r="I3" s="78"/>
      <c r="J3" s="78"/>
      <c r="K3" s="78"/>
      <c r="L3" s="78"/>
      <c r="M3" s="78"/>
      <c r="N3" s="78"/>
      <c r="O3" s="78"/>
      <c r="P3" s="7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2012</v>
      </c>
      <c r="G4" s="13"/>
      <c r="H4" s="75">
        <v>2013</v>
      </c>
      <c r="I4" s="13"/>
      <c r="J4" s="75">
        <v>2014</v>
      </c>
      <c r="K4" s="10"/>
      <c r="L4" s="75">
        <v>2015</v>
      </c>
      <c r="M4" s="10"/>
      <c r="N4" s="75">
        <v>2016</v>
      </c>
      <c r="O4" s="10"/>
      <c r="P4" s="75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21587675</v>
      </c>
      <c r="E6" s="17"/>
      <c r="F6" s="18">
        <v>21587675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7188575</v>
      </c>
      <c r="E7" s="4"/>
      <c r="F7" s="18">
        <v>7188575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56</v>
      </c>
      <c r="B8" s="4"/>
      <c r="C8" s="4"/>
      <c r="D8" s="16">
        <f>SUM(F8:P8)</f>
        <v>2600000</v>
      </c>
      <c r="E8" s="4"/>
      <c r="F8" s="18">
        <f>1500000-950000-200000-150000-50000-75000+25000</f>
        <v>100000</v>
      </c>
      <c r="G8" s="4"/>
      <c r="H8" s="18">
        <f>1500000+1000000</f>
        <v>2500000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 t="s">
        <v>51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31376250</v>
      </c>
      <c r="E9" s="4"/>
      <c r="F9" s="23">
        <f>SUM(F6:F8)</f>
        <v>28876250</v>
      </c>
      <c r="G9" s="21"/>
      <c r="H9" s="24">
        <f>SUM(H6:H8)</f>
        <v>2500000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0.92256389776357828</v>
      </c>
      <c r="E11" s="4"/>
      <c r="F11" s="26">
        <v>31300000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61</v>
      </c>
      <c r="B13" s="4"/>
      <c r="C13" s="4"/>
      <c r="D13" s="16">
        <f>F6</f>
        <v>21587675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60</v>
      </c>
      <c r="B14" s="4"/>
      <c r="C14" s="4"/>
      <c r="D14" s="18">
        <f>679000+700000</f>
        <v>1379000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57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62</v>
      </c>
      <c r="D16" s="23">
        <f>SUM(D13:D15)</f>
        <v>22966675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8" t="s">
        <v>14</v>
      </c>
      <c r="I18" s="78"/>
      <c r="J18" s="78"/>
      <c r="K18" s="78"/>
      <c r="L18" s="78"/>
      <c r="M18" s="78"/>
      <c r="N18" s="78"/>
      <c r="O18" s="78"/>
      <c r="P18" s="78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2012</v>
      </c>
      <c r="G19" s="13"/>
      <c r="H19" s="75">
        <v>2013</v>
      </c>
      <c r="I19" s="13"/>
      <c r="J19" s="75">
        <v>2014</v>
      </c>
      <c r="K19" s="10"/>
      <c r="L19" s="75">
        <v>2015</v>
      </c>
      <c r="M19" s="10"/>
      <c r="N19" s="75">
        <v>2016</v>
      </c>
      <c r="O19" s="10"/>
      <c r="P19" s="75">
        <v>2017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27733647</v>
      </c>
      <c r="E21" s="4"/>
      <c r="F21" s="18">
        <v>27733647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53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2170500</v>
      </c>
      <c r="E23" s="17"/>
      <c r="F23" s="18">
        <f>1958000-900000</f>
        <v>1058000</v>
      </c>
      <c r="G23" s="17"/>
      <c r="H23" s="18">
        <v>987500</v>
      </c>
      <c r="I23" s="17"/>
      <c r="J23" s="18">
        <v>125000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52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7188575</v>
      </c>
      <c r="E24" s="18"/>
      <c r="F24" s="18">
        <v>3853575</v>
      </c>
      <c r="G24" s="17"/>
      <c r="H24" s="18">
        <f>7188575-3853575</f>
        <v>3335000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50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9359075</v>
      </c>
      <c r="E25" s="17"/>
      <c r="F25" s="30">
        <f>SUM(F23:F24)</f>
        <v>4911575</v>
      </c>
      <c r="G25" s="4"/>
      <c r="H25" s="30">
        <f>SUM(H23:H24)</f>
        <v>4322500</v>
      </c>
      <c r="I25" s="22"/>
      <c r="J25" s="30">
        <f>SUM(J23:J24)</f>
        <v>125000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54</v>
      </c>
      <c r="B26" s="4"/>
      <c r="C26" s="72"/>
      <c r="D26" s="31">
        <f>D8</f>
        <v>2600000</v>
      </c>
      <c r="E26" s="4"/>
      <c r="F26" s="18">
        <v>50000</v>
      </c>
      <c r="G26" s="4"/>
      <c r="H26" s="18">
        <f>750000+75000+1000000-37500+12500</f>
        <v>1800000</v>
      </c>
      <c r="I26" s="4"/>
      <c r="J26" s="18">
        <v>750000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39692722</v>
      </c>
      <c r="E27" s="4"/>
      <c r="F27" s="23">
        <f>SUM(F21+F25+F26)</f>
        <v>32695222</v>
      </c>
      <c r="G27" s="21"/>
      <c r="H27" s="23">
        <f>SUM(H25+H26)</f>
        <v>6122500</v>
      </c>
      <c r="I27" s="21"/>
      <c r="J27" s="23">
        <f>SUM(J25+J26)</f>
        <v>875000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31300000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1.0445757827476039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28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30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29</v>
      </c>
      <c r="B34" s="4"/>
      <c r="C34" s="4"/>
      <c r="D34" s="44">
        <f>D23</f>
        <v>2170500</v>
      </c>
      <c r="E34" s="17"/>
      <c r="F34" s="76"/>
      <c r="G34" s="77"/>
      <c r="H34" s="40" t="s">
        <v>33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31</v>
      </c>
      <c r="B35" s="4"/>
      <c r="C35" s="45"/>
      <c r="D35" s="46"/>
      <c r="E35" s="21"/>
      <c r="F35" s="47">
        <f>D34/37125667</f>
        <v>5.8463596088388123E-2</v>
      </c>
      <c r="G35" s="47" t="s">
        <v>32</v>
      </c>
      <c r="H35" s="43" t="s">
        <v>35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34</v>
      </c>
      <c r="B36" s="21"/>
      <c r="C36" s="21"/>
      <c r="D36" s="21"/>
      <c r="E36" s="21"/>
      <c r="F36" s="47">
        <f>(+D34+D26)/37125667</f>
        <v>0.12849600789663926</v>
      </c>
      <c r="G36" s="47" t="s">
        <v>32</v>
      </c>
      <c r="H36" s="40" t="s">
        <v>37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36</v>
      </c>
      <c r="B37" s="4"/>
      <c r="C37" s="4"/>
      <c r="D37" s="4"/>
      <c r="E37" s="4"/>
      <c r="F37" s="47">
        <v>0.5</v>
      </c>
      <c r="G37" s="47" t="s">
        <v>32</v>
      </c>
      <c r="H37" s="43" t="s">
        <v>38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40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39</v>
      </c>
      <c r="F39" s="48"/>
      <c r="H39" s="43" t="s">
        <v>42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41</v>
      </c>
      <c r="B40" s="21"/>
      <c r="C40" s="21"/>
      <c r="D40" s="21"/>
      <c r="E40" s="21"/>
      <c r="F40" s="49"/>
      <c r="G40" s="21"/>
      <c r="H40" s="43" t="s">
        <v>44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43</v>
      </c>
      <c r="B41" s="4"/>
      <c r="C41" s="4"/>
      <c r="D41" s="4"/>
      <c r="E41" s="42"/>
      <c r="F41" s="51">
        <v>7.3400000000000007E-2</v>
      </c>
      <c r="G41" s="21"/>
      <c r="H41" s="43" t="s">
        <v>46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45</v>
      </c>
      <c r="B42" s="4"/>
      <c r="C42" s="4"/>
      <c r="D42" s="4"/>
      <c r="E42" s="42"/>
      <c r="F42" s="51">
        <v>2.1600000000000001E-2</v>
      </c>
      <c r="G42" s="21"/>
      <c r="H42" s="43" t="s">
        <v>48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47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49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>
      <c r="A44" s="4"/>
      <c r="B44" s="4"/>
      <c r="C44" s="4"/>
      <c r="D44" s="4"/>
      <c r="E44" s="4"/>
      <c r="F44" s="55"/>
      <c r="G44" s="21"/>
      <c r="H44" s="40" t="s">
        <v>58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>
      <c r="A45" s="4" t="s">
        <v>55</v>
      </c>
      <c r="B45" s="4"/>
      <c r="C45" s="4"/>
      <c r="D45" s="4"/>
      <c r="E45" s="17"/>
      <c r="F45" s="56">
        <v>8.7999999999999995E-2</v>
      </c>
      <c r="G45" s="21"/>
      <c r="H45" s="57" t="s">
        <v>59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2012-11-29T17:48:33Z</cp:lastPrinted>
  <dcterms:created xsi:type="dcterms:W3CDTF">2007-07-05T17:08:59Z</dcterms:created>
  <dcterms:modified xsi:type="dcterms:W3CDTF">2012-11-29T17:48:37Z</dcterms:modified>
</cp:coreProperties>
</file>