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9435" windowHeight="535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D24" i="1" l="1"/>
  <c r="H23" i="1"/>
  <c r="F23" i="1"/>
  <c r="F8" i="1"/>
  <c r="D14" i="1" l="1"/>
  <c r="F25" i="1" l="1"/>
  <c r="D13" i="1" l="1"/>
  <c r="D16" i="1" l="1"/>
  <c r="D6" i="1" s="1"/>
  <c r="F9" i="1" l="1"/>
  <c r="F43" i="1" l="1"/>
  <c r="D8" i="1" l="1"/>
  <c r="D7" i="1" l="1"/>
  <c r="R7" i="1" s="1"/>
  <c r="D11" i="1"/>
  <c r="H9" i="1"/>
  <c r="J9" i="1"/>
  <c r="L9" i="1"/>
  <c r="N9" i="1"/>
  <c r="P9" i="1"/>
  <c r="D21" i="1"/>
  <c r="J25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<sst xmlns="http://schemas.openxmlformats.org/spreadsheetml/2006/main" count="80" uniqueCount="63">
  <si>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</si>
  <si>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</si>
  <si>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</si>
  <si>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</si>
  <si>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</si>
  <si>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</si>
  <si>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</si>
  <si>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</si>
  <si>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</si>
  <si>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Total actual and proposed grant awards/commitments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</si>
  <si>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</si>
  <si>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</si>
  <si>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</si>
  <si>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</si>
  <si>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</si>
  <si>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</si>
  <si>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</si>
  <si>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</si>
  <si>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</si>
  <si>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</si>
  <si>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</si>
  <si>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</si>
  <si>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</si>
  <si>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</si>
  <si>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</si>
  <si>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</si>
  <si>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</si>
  <si>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</si>
  <si>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</si>
  <si>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</si>
  <si>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</si>
  <si>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</si>
  <si>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</si>
  <si>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</si>
  <si>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</si>
  <si>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</si>
  <si>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</si>
  <si>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</si>
  <si>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</si>
  <si>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</si>
  <si>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</si>
  <si>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</si>
  <si>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</si>
  <si>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</si>
  <si>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</si>
  <si>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</si>
  <si>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PNIC</t>
  </si>
  <si>
    <t>BF bal s/b removed</t>
  </si>
  <si>
    <t xml:space="preserve">       Grant commitments</t>
  </si>
  <si>
    <t xml:space="preserve">     Donor Intent grants (Keiser)</t>
  </si>
  <si>
    <t xml:space="preserve">   (4) Non-Budget Grant Awards: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</si>
  <si>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</si>
  <si>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</si>
  <si>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</si>
  <si>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</si>
  <si>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</si>
  <si>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Grant Commitments, Note 3 (BFs)</t>
  </si>
  <si>
    <t xml:space="preserve">     Non-budget grants, Note 4 </t>
  </si>
  <si>
    <t>matches line 14 non-CY bud</t>
  </si>
  <si>
    <t>(2012: IEA, BF '12 bal, )</t>
  </si>
  <si>
    <t xml:space="preserve">        Proposed grant awards (includes IEA, $2,260,000)</t>
  </si>
  <si>
    <t xml:space="preserve">     Proposed grant awards, Note 2, (Includes IEA)</t>
  </si>
  <si>
    <t xml:space="preserve">     Actual Year to Date rate of return (11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</si>
</sst>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81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16" fontId="3" fillId="2" borderId="0" xfId="0" applyNumberFormat="1" applyFont="1"/>
    <xf numFmtId="5" fontId="23" fillId="2" borderId="0" xfId="0" applyNumberFormat="1" applyFont="1" applyAlignment="1">
      <alignment horizontal="left"/>
    </xf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46" sqref="F4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41608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76"/>
    </row>
    <row r="3" spans="1:256" ht="15.75">
      <c r="A3" s="6"/>
      <c r="B3" s="7"/>
      <c r="C3" s="7"/>
      <c r="D3" s="7"/>
      <c r="E3" s="8"/>
      <c r="G3" s="9"/>
      <c r="H3" s="80" t="s">
        <v>2</v>
      </c>
      <c r="I3" s="80"/>
      <c r="J3" s="80"/>
      <c r="K3" s="80"/>
      <c r="L3" s="80"/>
      <c r="M3" s="80"/>
      <c r="N3" s="80"/>
      <c r="O3" s="80"/>
      <c r="P3" s="8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D16</f>
        <v>31104924</v>
      </c>
      <c r="E6" s="17"/>
      <c r="F6" s="18">
        <v>31904924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800000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61</v>
      </c>
      <c r="B7" s="4"/>
      <c r="C7" s="22"/>
      <c r="D7" s="16">
        <f>F7</f>
        <v>0</v>
      </c>
      <c r="E7" s="4"/>
      <c r="F7" s="18">
        <v>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56</v>
      </c>
      <c r="B8" s="4"/>
      <c r="C8" s="4"/>
      <c r="D8" s="16">
        <f>SUM(F8:P8)</f>
        <v>1025000</v>
      </c>
      <c r="E8" s="4"/>
      <c r="F8" s="18">
        <f>1500000+100000-125000-150000-400000-525000-150000-100000-125000</f>
        <v>25000</v>
      </c>
      <c r="G8" s="4"/>
      <c r="H8" s="18">
        <v>1000000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9</v>
      </c>
      <c r="B9" s="4"/>
      <c r="C9" s="4"/>
      <c r="D9" s="23">
        <f>SUM(D6:D8)</f>
        <v>32129924</v>
      </c>
      <c r="E9" s="4"/>
      <c r="F9" s="23">
        <f>SUM(F6:F8)</f>
        <v>31929924</v>
      </c>
      <c r="G9" s="21"/>
      <c r="H9" s="24">
        <f>SUM(H6:H8)</f>
        <v>1000000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800000</v>
      </c>
      <c r="S9" s="71" t="s">
        <v>58</v>
      </c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10</v>
      </c>
      <c r="B11" s="4"/>
      <c r="C11" s="4"/>
      <c r="D11" s="36">
        <f>F9/F11</f>
        <v>0.97051440729483285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51</v>
      </c>
      <c r="B13" s="4"/>
      <c r="C13" s="4"/>
      <c r="D13" s="16">
        <f>F6</f>
        <v>31904924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57</v>
      </c>
      <c r="B14" s="4"/>
      <c r="C14" s="4"/>
      <c r="D14" s="18">
        <f>-700000-100000</f>
        <v>-800000</v>
      </c>
      <c r="F14" s="77" t="s">
        <v>59</v>
      </c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49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55</v>
      </c>
      <c r="D16" s="23">
        <f>SUM(D13:D15)</f>
        <v>31104924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80" t="s">
        <v>12</v>
      </c>
      <c r="I18" s="80"/>
      <c r="J18" s="80"/>
      <c r="K18" s="80"/>
      <c r="L18" s="80"/>
      <c r="M18" s="80"/>
      <c r="N18" s="80"/>
      <c r="O18" s="80"/>
      <c r="P18" s="80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13</v>
      </c>
    </row>
    <row r="21" spans="1:256">
      <c r="A21" s="4" t="s">
        <v>14</v>
      </c>
      <c r="B21" s="4"/>
      <c r="C21" s="4"/>
      <c r="D21" s="18">
        <f>F21</f>
        <v>25765150</v>
      </c>
      <c r="E21" s="4"/>
      <c r="F21" s="18">
        <v>25765150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15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16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47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17</v>
      </c>
      <c r="B23" s="4"/>
      <c r="C23" s="21"/>
      <c r="D23" s="18">
        <v>11248774</v>
      </c>
      <c r="E23" s="17"/>
      <c r="F23" s="18">
        <f>8616433-2000000</f>
        <v>6616433</v>
      </c>
      <c r="G23" s="17"/>
      <c r="H23" s="18">
        <f>5632341-1000000</f>
        <v>4632341</v>
      </c>
      <c r="I23" s="17"/>
      <c r="J23" s="18">
        <v>0</v>
      </c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46</v>
      </c>
      <c r="T23" s="21" t="s">
        <v>18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60</v>
      </c>
      <c r="B24" s="4"/>
      <c r="C24" s="22"/>
      <c r="D24" s="18">
        <f>F7</f>
        <v>0</v>
      </c>
      <c r="E24" s="18"/>
      <c r="F24" s="18">
        <v>0</v>
      </c>
      <c r="G24" s="17"/>
      <c r="H24" s="18">
        <v>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45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19</v>
      </c>
      <c r="B25" s="4"/>
      <c r="C25" s="4"/>
      <c r="D25" s="30">
        <f>SUM(D23:D24)</f>
        <v>11248774</v>
      </c>
      <c r="E25" s="17"/>
      <c r="F25" s="30">
        <f>SUM(F23:F24)</f>
        <v>6616433</v>
      </c>
      <c r="G25" s="4"/>
      <c r="H25" s="30">
        <f>SUM(H23:H24)</f>
        <v>4632341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48</v>
      </c>
      <c r="B26" s="4"/>
      <c r="C26" s="72"/>
      <c r="D26" s="31">
        <f>D8</f>
        <v>1025000</v>
      </c>
      <c r="E26" s="4"/>
      <c r="F26" s="18">
        <v>25000</v>
      </c>
      <c r="G26" s="4"/>
      <c r="H26" s="18">
        <v>1000000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20</v>
      </c>
      <c r="B27" s="4"/>
      <c r="C27" s="4"/>
      <c r="D27" s="23">
        <f>SUM(D21+D25+D26)</f>
        <v>38038924</v>
      </c>
      <c r="E27" s="4"/>
      <c r="F27" s="23">
        <f>SUM(F21+F25+F26)</f>
        <v>32406583</v>
      </c>
      <c r="G27" s="21"/>
      <c r="H27" s="23">
        <f>SUM(H25+H26)</f>
        <v>5632341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21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22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11</v>
      </c>
      <c r="B31" s="4"/>
      <c r="C31" s="4"/>
      <c r="D31" s="4"/>
      <c r="E31" s="4"/>
      <c r="F31" s="36">
        <f>F27/F29</f>
        <v>0.98500252279635259</v>
      </c>
      <c r="G31" s="21"/>
      <c r="H31" s="40" t="s">
        <v>23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52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24</v>
      </c>
      <c r="B33" s="4"/>
      <c r="C33" s="4"/>
      <c r="D33" s="4"/>
      <c r="E33" s="17"/>
      <c r="F33" s="4"/>
      <c r="G33" s="32"/>
      <c r="H33" s="43" t="s">
        <v>53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25</v>
      </c>
      <c r="B34" s="4"/>
      <c r="C34" s="4"/>
      <c r="D34" s="44">
        <f>D23</f>
        <v>11248774</v>
      </c>
      <c r="E34" s="17"/>
      <c r="F34" s="78"/>
      <c r="G34" s="79"/>
      <c r="H34" s="40" t="s">
        <v>28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26</v>
      </c>
      <c r="B35" s="4"/>
      <c r="C35" s="45"/>
      <c r="D35" s="46"/>
      <c r="E35" s="21"/>
      <c r="F35" s="47">
        <f>D34/33611000</f>
        <v>0.33467537413346821</v>
      </c>
      <c r="G35" s="47" t="s">
        <v>27</v>
      </c>
      <c r="H35" s="43" t="s">
        <v>30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29</v>
      </c>
      <c r="B36" s="21"/>
      <c r="C36" s="21"/>
      <c r="D36" s="21"/>
      <c r="E36" s="21"/>
      <c r="F36" s="47">
        <f>(+D34+D26)/33611000</f>
        <v>0.36517134271518253</v>
      </c>
      <c r="G36" s="47" t="s">
        <v>27</v>
      </c>
      <c r="H36" s="40" t="s">
        <v>32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31</v>
      </c>
      <c r="B37" s="4"/>
      <c r="C37" s="4"/>
      <c r="D37" s="4"/>
      <c r="E37" s="4"/>
      <c r="F37" s="47">
        <v>0.5</v>
      </c>
      <c r="G37" s="47" t="s">
        <v>27</v>
      </c>
      <c r="H37" s="43" t="s">
        <v>33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35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34</v>
      </c>
      <c r="F39" s="48"/>
      <c r="H39" s="43" t="s">
        <v>37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36</v>
      </c>
      <c r="B40" s="21"/>
      <c r="C40" s="21"/>
      <c r="D40" s="21"/>
      <c r="E40" s="21"/>
      <c r="F40" s="49"/>
      <c r="G40" s="21"/>
      <c r="H40" s="43" t="s">
        <v>39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38</v>
      </c>
      <c r="B41" s="4"/>
      <c r="C41" s="4"/>
      <c r="D41" s="4"/>
      <c r="E41" s="42"/>
      <c r="F41" s="51">
        <v>7.3400000000000007E-2</v>
      </c>
      <c r="G41" s="21"/>
      <c r="H41" s="43" t="s">
        <v>41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40</v>
      </c>
      <c r="B42" s="4"/>
      <c r="C42" s="4"/>
      <c r="D42" s="4"/>
      <c r="E42" s="42"/>
      <c r="F42" s="51">
        <v>2.1600000000000001E-2</v>
      </c>
      <c r="G42" s="21"/>
      <c r="H42" s="43" t="s">
        <v>43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42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44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50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62</v>
      </c>
      <c r="B45" s="4"/>
      <c r="C45" s="4"/>
      <c r="D45" s="4"/>
      <c r="E45" s="17"/>
      <c r="F45" s="56">
        <v>0.16900000000000001</v>
      </c>
      <c r="G45" s="21"/>
      <c r="H45" s="57" t="s">
        <v>54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2013-12-17T21:27:49Z</cp:lastPrinted>
  <dcterms:created xsi:type="dcterms:W3CDTF">2007-07-05T17:08:59Z</dcterms:created>
  <dcterms:modified xsi:type="dcterms:W3CDTF">2013-12-18T21:04:21Z</dcterms:modified>
</cp:coreProperties>
</file>