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14190" activeTab="6"/>
  </bookViews>
  <sheets>
    <sheet name="Logs" sheetId="4" r:id="rId1"/>
    <sheet name="List" sheetId="5" r:id="rId2"/>
    <sheet name="$12.5M working" sheetId="8" r:id="rId3"/>
    <sheet name="$12.5M" sheetId="6" r:id="rId4"/>
    <sheet name="$3M" sheetId="3" r:id="rId5"/>
    <sheet name="Notes" sheetId="7" r:id="rId6"/>
    <sheet name="Orig" sheetId="9" r:id="rId7"/>
    <sheet name="USE" sheetId="10" r:id="rId8"/>
  </sheets>
  <definedNames>
    <definedName name="_xlnm.Print_Area" localSheetId="5">Notes!$A$1:$G$21</definedName>
    <definedName name="_xlnm.Print_Area" localSheetId="6">Orig!$A$1:$S$34</definedName>
    <definedName name="_xlnm.Print_Titles" localSheetId="0">Logs!$1:$1</definedName>
  </definedNames>
  <calcPr calcId="145621"/>
</workbook>
</file>

<file path=xl/calcChain.xml><?xml version="1.0" encoding="utf-8"?>
<calcChain xmlns="http://schemas.openxmlformats.org/spreadsheetml/2006/main">
  <c r="F19" i="10" l="1"/>
  <c r="B15" i="10" l="1"/>
  <c r="F13" i="10"/>
  <c r="F14" i="10"/>
  <c r="D13" i="10"/>
  <c r="E11" i="10"/>
  <c r="E12" i="10" s="1"/>
  <c r="D6" i="10" l="1"/>
  <c r="D7" i="10" s="1"/>
  <c r="D8" i="10" s="1"/>
  <c r="F6" i="10"/>
  <c r="F7" i="10" s="1"/>
  <c r="E13" i="10"/>
  <c r="D9" i="10" l="1"/>
  <c r="D11" i="10" s="1"/>
  <c r="D12" i="10" s="1"/>
  <c r="F8" i="10"/>
  <c r="F9" i="10" s="1"/>
  <c r="F11" i="10" s="1"/>
  <c r="D14" i="10"/>
  <c r="B5" i="10"/>
  <c r="E8" i="10" s="1"/>
  <c r="F12" i="10" l="1"/>
  <c r="E7" i="10"/>
  <c r="E5" i="10"/>
  <c r="E6" i="10"/>
  <c r="P13" i="9"/>
  <c r="J30" i="9"/>
  <c r="J29" i="9"/>
  <c r="J28" i="9"/>
  <c r="K13" i="9"/>
  <c r="Q19" i="9"/>
  <c r="Q23" i="9"/>
  <c r="L9" i="9" l="1"/>
  <c r="P14" i="9"/>
  <c r="P16" i="9" s="1"/>
  <c r="P18" i="9" s="1"/>
  <c r="P21" i="9" s="1"/>
  <c r="P25" i="9" s="1"/>
  <c r="K23" i="9"/>
  <c r="L8" i="9"/>
  <c r="N8" i="9"/>
  <c r="P29" i="9"/>
  <c r="R17" i="9"/>
  <c r="J20" i="9"/>
  <c r="J22" i="9" s="1"/>
  <c r="J13" i="9"/>
  <c r="P7" i="9"/>
  <c r="P9" i="9" s="1"/>
  <c r="L6" i="9"/>
  <c r="L5" i="9"/>
  <c r="J4" i="9"/>
  <c r="O4" i="9" s="1"/>
  <c r="E10" i="9"/>
  <c r="E9" i="9"/>
  <c r="B6" i="9"/>
  <c r="B4" i="9"/>
  <c r="O5" i="9" l="1"/>
  <c r="O6" i="9" s="1"/>
  <c r="E11" i="9"/>
  <c r="E13" i="9" s="1"/>
  <c r="B7" i="9"/>
  <c r="L7" i="9"/>
  <c r="F44" i="5"/>
  <c r="D21" i="5"/>
  <c r="G9" i="5"/>
  <c r="J9" i="5"/>
  <c r="J8" i="5"/>
  <c r="I20" i="5"/>
  <c r="G7" i="5"/>
  <c r="H15" i="5"/>
  <c r="J46" i="5"/>
  <c r="G44" i="5"/>
  <c r="L42" i="5"/>
  <c r="G40" i="5"/>
  <c r="F36" i="5"/>
  <c r="H35" i="5"/>
  <c r="L34" i="5"/>
  <c r="J34" i="5"/>
  <c r="G31" i="5"/>
  <c r="G32" i="5" s="1"/>
  <c r="L30" i="5"/>
  <c r="G30" i="5"/>
  <c r="F29" i="5"/>
  <c r="I29" i="5" s="1"/>
  <c r="I30" i="5" s="1"/>
  <c r="F19" i="5"/>
  <c r="L19" i="5"/>
  <c r="G6" i="5"/>
  <c r="G8" i="5" s="1"/>
  <c r="G17" i="5"/>
  <c r="L6" i="5"/>
  <c r="B25" i="5"/>
  <c r="I5" i="5"/>
  <c r="J23" i="5"/>
  <c r="H12" i="5"/>
  <c r="G21" i="5"/>
  <c r="F13" i="5"/>
  <c r="L11" i="5"/>
  <c r="D13" i="5"/>
  <c r="F5" i="5"/>
  <c r="B18" i="5"/>
  <c r="B15" i="5"/>
  <c r="B14" i="5"/>
  <c r="B13" i="5"/>
  <c r="I6" i="5" l="1"/>
  <c r="I31" i="5"/>
  <c r="I32" i="5" s="1"/>
  <c r="I35" i="5" s="1"/>
  <c r="I7" i="5"/>
  <c r="I8" i="5" s="1"/>
  <c r="I12" i="5" s="1"/>
  <c r="E9" i="8"/>
  <c r="E10" i="8" s="1"/>
  <c r="E11" i="8" s="1"/>
  <c r="E12" i="8" s="1"/>
  <c r="E13" i="8" s="1"/>
  <c r="E14" i="8" s="1"/>
  <c r="E15" i="8" s="1"/>
  <c r="E16" i="8" s="1"/>
  <c r="E8" i="8"/>
  <c r="E7" i="8"/>
  <c r="E6" i="8"/>
  <c r="H9" i="8"/>
  <c r="H11" i="8"/>
  <c r="D32" i="8"/>
  <c r="F52" i="8"/>
  <c r="I46" i="8"/>
  <c r="I44" i="8"/>
  <c r="F40" i="8"/>
  <c r="B38" i="8"/>
  <c r="B40" i="8" s="1"/>
  <c r="B42" i="8" s="1"/>
  <c r="B44" i="8" s="1"/>
  <c r="B47" i="8" s="1"/>
  <c r="B49" i="8" s="1"/>
  <c r="B51" i="8" s="1"/>
  <c r="B53" i="8" s="1"/>
  <c r="Q21" i="8"/>
  <c r="B42" i="6"/>
  <c r="L43" i="6"/>
  <c r="J42" i="6"/>
  <c r="B40" i="6"/>
  <c r="B36" i="6"/>
  <c r="B38" i="6" s="1"/>
  <c r="B33" i="6"/>
  <c r="F41" i="6"/>
  <c r="B31" i="6"/>
  <c r="F29" i="6"/>
  <c r="I35" i="6"/>
  <c r="I33" i="6"/>
  <c r="L38" i="6"/>
  <c r="L27" i="6"/>
  <c r="B27" i="6"/>
  <c r="B29" i="6" s="1"/>
  <c r="L23" i="6"/>
  <c r="F4" i="7"/>
  <c r="F20" i="6"/>
  <c r="L17" i="6"/>
  <c r="B8" i="6" l="1"/>
  <c r="B10" i="6" s="1"/>
  <c r="B12" i="6" s="1"/>
  <c r="B14" i="6" s="1"/>
  <c r="B16" i="6" s="1"/>
  <c r="G2" i="3" l="1"/>
  <c r="G4" i="3" s="1"/>
  <c r="G5" i="3" s="1"/>
  <c r="G6" i="3" s="1"/>
  <c r="G7" i="3" s="1"/>
  <c r="L7" i="4"/>
  <c r="K40" i="4"/>
  <c r="A36" i="4"/>
  <c r="O34" i="4"/>
  <c r="F33" i="4"/>
  <c r="A30" i="4"/>
  <c r="A32" i="4" s="1"/>
  <c r="A34" i="4" s="1"/>
  <c r="E25" i="4"/>
  <c r="E27" i="4" s="1"/>
  <c r="G27" i="4" s="1"/>
  <c r="H24" i="4"/>
  <c r="H25" i="4" s="1"/>
  <c r="H7" i="4"/>
  <c r="H9" i="4" s="1"/>
  <c r="E7" i="4"/>
  <c r="E4" i="3"/>
</calcChain>
</file>

<file path=xl/sharedStrings.xml><?xml version="1.0" encoding="utf-8"?>
<sst xmlns="http://schemas.openxmlformats.org/spreadsheetml/2006/main" count="359" uniqueCount="238">
  <si>
    <t>Request sent 1/21/11.  Bal of</t>
  </si>
  <si>
    <t>Charter Growth Fund</t>
  </si>
  <si>
    <t>$1,230,817 at 6/30/10.</t>
  </si>
  <si>
    <t xml:space="preserve"> Broomfield, CO</t>
  </si>
  <si>
    <t xml:space="preserve"> 7/27/11 reports state $0 spent.</t>
  </si>
  <si>
    <t xml:space="preserve">  To support general program activities</t>
  </si>
  <si>
    <t>Followed-up 1/16/12 &amp; 7/12/12.</t>
  </si>
  <si>
    <t>PROJECT</t>
  </si>
  <si>
    <t>ID#</t>
  </si>
  <si>
    <t>GRANT DATE</t>
  </si>
  <si>
    <t>GRANT AMOUNT</t>
  </si>
  <si>
    <t>AMOUT PAID</t>
  </si>
  <si>
    <t>DATE PAID</t>
  </si>
  <si>
    <t>REPORT DATE</t>
  </si>
  <si>
    <t>AMOUNT EXPENDED</t>
  </si>
  <si>
    <t>NOTES</t>
  </si>
  <si>
    <t>Request sent 1/15/07.</t>
  </si>
  <si>
    <t>Report received.  Follow up on bal.</t>
  </si>
  <si>
    <t xml:space="preserve">  To support general operations</t>
  </si>
  <si>
    <t xml:space="preserve"> of $3,409,099.88 sent 7/13/07</t>
  </si>
  <si>
    <t>of $2,239,117.80 in Jan '08.</t>
  </si>
  <si>
    <t>Report received.  Followed up on $1,158,976</t>
  </si>
  <si>
    <t>balance 7/15/08.</t>
  </si>
  <si>
    <t>Request sent 1/15/08.  Report received.</t>
  </si>
  <si>
    <t>Total spent-all years</t>
  </si>
  <si>
    <t>Followed up on $2,831,744 balance 7/15/08.</t>
  </si>
  <si>
    <t>Report received; follow up in Jan. '09 on balance</t>
  </si>
  <si>
    <t>of $2,397,013.  Follow up sent 1/15/09.</t>
  </si>
  <si>
    <t>Request sent 1/15/09.</t>
  </si>
  <si>
    <t>YES</t>
  </si>
  <si>
    <t xml:space="preserve">  Broomfield, CO</t>
  </si>
  <si>
    <t>Request sent 7/30/09.</t>
  </si>
  <si>
    <t xml:space="preserve">   To support an education strategy session</t>
  </si>
  <si>
    <t>Report rec'd; all expended.</t>
  </si>
  <si>
    <t>Req sent 1/22/10, 7/16/10, 1/21/11.</t>
  </si>
  <si>
    <t>Pre bal of $1,181,219 at 1/1/09.</t>
  </si>
  <si>
    <t>Report states bal of $7,181,219</t>
  </si>
  <si>
    <t>Prev bal</t>
  </si>
  <si>
    <t>at 12/31/9 on full $13.5M</t>
  </si>
  <si>
    <t>at 12/31/09</t>
  </si>
  <si>
    <t>Previous bal</t>
  </si>
  <si>
    <t>Running balance of $2,397,013, 2/25/11 report states $1,729,322 spent, leaving balance of $5,451,897 at 12/31/09.  Spent $2,179,455 (1/1/10-6/30/10) + $675,000 (7/1/10-12/31/10) for a total of $2,854,455 during 2010, leaving balance of $2,597,442 at 12/31/10.</t>
  </si>
  <si>
    <t>Pd 2009</t>
  </si>
  <si>
    <t xml:space="preserve"> 6/30/11 letter covering last 1/2 of 2010.  [request signed form in July, but no further report for 2010]</t>
  </si>
  <si>
    <t>Total remaining</t>
  </si>
  <si>
    <t>Exp 2009, 2010</t>
  </si>
  <si>
    <t>Last half 2010</t>
  </si>
  <si>
    <t>Balance (of full $13,500,000)</t>
  </si>
  <si>
    <t>9001430.01</t>
  </si>
  <si>
    <t>Request sent 1/16/12.</t>
  </si>
  <si>
    <t>2/15 report states $22,434</t>
  </si>
  <si>
    <t xml:space="preserve">    To support general program activities</t>
  </si>
  <si>
    <t>bal. Followed up 7/12/12.</t>
  </si>
  <si>
    <t>AMOUNT PAID</t>
  </si>
  <si>
    <t>BALALCE AT</t>
  </si>
  <si>
    <t>REQUESTS SENT</t>
  </si>
  <si>
    <t>AMOUNT SPENT</t>
  </si>
  <si>
    <t>BALANCE</t>
  </si>
  <si>
    <t>Expenses</t>
  </si>
  <si>
    <t>Payment</t>
  </si>
  <si>
    <t>Balance</t>
  </si>
  <si>
    <t>at</t>
  </si>
  <si>
    <t>CHARTER GROWTH FUND</t>
  </si>
  <si>
    <t>Commitment</t>
  </si>
  <si>
    <t>Total</t>
  </si>
  <si>
    <t>Report</t>
  </si>
  <si>
    <t>Date</t>
  </si>
  <si>
    <t>EAR</t>
  </si>
  <si>
    <t>Form</t>
  </si>
  <si>
    <t>Sent</t>
  </si>
  <si>
    <t>Date Paid</t>
  </si>
  <si>
    <t>12/31/06 bal</t>
  </si>
  <si>
    <t>2007 grant of $3M</t>
  </si>
  <si>
    <t>bal:</t>
  </si>
  <si>
    <t>JUNE 8, 2008 REPORT</t>
  </si>
  <si>
    <t>orig 4.5M grant</t>
  </si>
  <si>
    <t>TOTAL SPENT</t>
  </si>
  <si>
    <t>4.5m</t>
  </si>
  <si>
    <t>at 12/31/07</t>
  </si>
  <si>
    <t>total spent</t>
  </si>
  <si>
    <t>balance</t>
  </si>
  <si>
    <t>LETTERS</t>
  </si>
  <si>
    <t>FORMS</t>
  </si>
  <si>
    <t>of $3M</t>
  </si>
  <si>
    <t>of 4.5M</t>
  </si>
  <si>
    <t>total</t>
  </si>
  <si>
    <t>of 7.5M</t>
  </si>
  <si>
    <t>spent at 6/30/07</t>
  </si>
  <si>
    <t>for 2007</t>
  </si>
  <si>
    <t>Expend 2006</t>
  </si>
  <si>
    <t>Expend 2007</t>
  </si>
  <si>
    <t>=</t>
  </si>
  <si>
    <t>Total expend</t>
  </si>
  <si>
    <t>Expend 2008</t>
  </si>
  <si>
    <t>a</t>
  </si>
  <si>
    <t>b</t>
  </si>
  <si>
    <t>PAYMENTS</t>
  </si>
  <si>
    <t>AT</t>
  </si>
  <si>
    <t>2007</t>
  </si>
  <si>
    <t>2006</t>
  </si>
  <si>
    <t>2008</t>
  </si>
  <si>
    <t>YEAR</t>
  </si>
  <si>
    <t>COLLECTING INFORMATION PAGE</t>
  </si>
  <si>
    <t>Through 6/30/08</t>
  </si>
  <si>
    <t>F-10/28/08</t>
  </si>
  <si>
    <t>of $7.5M</t>
  </si>
  <si>
    <t>T-8/31/07</t>
  </si>
  <si>
    <t>1/1-6/30/07</t>
  </si>
  <si>
    <t>Bal 6/30/07</t>
  </si>
  <si>
    <t>Bal 12/31/06</t>
  </si>
  <si>
    <t>L-8/31/07</t>
  </si>
  <si>
    <t>T-2/6/07</t>
  </si>
  <si>
    <t>of $4.5M</t>
  </si>
  <si>
    <t>confirm 2/6/07</t>
  </si>
  <si>
    <t>F-2/6/07</t>
  </si>
  <si>
    <t>F-9/7/07</t>
  </si>
  <si>
    <t>expended 1/1-6/30/07</t>
  </si>
  <si>
    <t>L-6/8/08</t>
  </si>
  <si>
    <t>confirm 2/6/07 &amp; 6/8/08</t>
  </si>
  <si>
    <t>2007 on orig 4.5M</t>
  </si>
  <si>
    <t>2007 of $3M</t>
  </si>
  <si>
    <t>Bal of $3M</t>
  </si>
  <si>
    <t>F-6/9/08</t>
  </si>
  <si>
    <t>of $4.5M at 12/31/07</t>
  </si>
  <si>
    <t>bal incep-12/31/06</t>
  </si>
  <si>
    <t>exp incep-12/31/06</t>
  </si>
  <si>
    <t>T-10/27/08</t>
  </si>
  <si>
    <t>exp 1/1-6/30/08</t>
  </si>
  <si>
    <t>beg bal @ 1/1/08</t>
  </si>
  <si>
    <t>bal @ 6/30/08</t>
  </si>
  <si>
    <t>L-10/27/08</t>
  </si>
  <si>
    <t>confirm 2008 #s</t>
  </si>
  <si>
    <t>exp of $7.5M</t>
  </si>
  <si>
    <t>bal @ 12/31/06</t>
  </si>
  <si>
    <t>PAID</t>
  </si>
  <si>
    <t>EXPENDED OF $4.5</t>
  </si>
  <si>
    <t>OK</t>
  </si>
  <si>
    <t>bal @ 12/31/07</t>
  </si>
  <si>
    <t>Running</t>
  </si>
  <si>
    <t>all of 2007</t>
  </si>
  <si>
    <t>bal of  $3M</t>
  </si>
  <si>
    <t>Bal of $4.5M</t>
  </si>
  <si>
    <t>exp 2007 of $3M</t>
  </si>
  <si>
    <t>1/1-6/30/08</t>
  </si>
  <si>
    <t>EX $3M</t>
  </si>
  <si>
    <t>EX OF $7.5</t>
  </si>
  <si>
    <t>bg bal 1/1/08</t>
  </si>
  <si>
    <t>jan-jun</t>
  </si>
  <si>
    <t>6/30/08 bal</t>
  </si>
  <si>
    <t>bal @ 5/30/08</t>
  </si>
  <si>
    <t>or 1,309,746</t>
  </si>
  <si>
    <t>dif tween</t>
  </si>
  <si>
    <t>spent</t>
  </si>
  <si>
    <t>EX OF $4.5</t>
  </si>
  <si>
    <t>all of 2007=2,250,154</t>
  </si>
  <si>
    <t>all of 2006=1,090,900</t>
  </si>
  <si>
    <t>during 2007</t>
  </si>
  <si>
    <t>during 2006</t>
  </si>
  <si>
    <t>1/1-6/30/08 total exp</t>
  </si>
  <si>
    <t>during 2008</t>
  </si>
  <si>
    <t>of 4.5M spent to 12/31/06</t>
  </si>
  <si>
    <t>of 4.5M spent to 6/30/07</t>
  </si>
  <si>
    <t>spent J-J 2007</t>
  </si>
  <si>
    <t>of 4.5M spent to 12/31/07</t>
  </si>
  <si>
    <t>spent J-J 2008</t>
  </si>
  <si>
    <t>of 7.5M spent to 6/30/08</t>
  </si>
  <si>
    <t>total of 7.5M spent to 1/31/07</t>
  </si>
  <si>
    <t>of 3M spent to 12/31/07</t>
  </si>
  <si>
    <t>1,090,900-1,169,982 =</t>
  </si>
  <si>
    <t>Bal @ 6/30/08</t>
  </si>
  <si>
    <t>12/31/07 balances</t>
  </si>
  <si>
    <t>Exp at 12/31/07</t>
  </si>
  <si>
    <t>Spent</t>
  </si>
  <si>
    <t>of 3M</t>
  </si>
  <si>
    <t>Total awarded</t>
  </si>
  <si>
    <t>Balance @ 12/31/10</t>
  </si>
  <si>
    <t>Spent during 2009</t>
  </si>
  <si>
    <t>Balance @ 12/31/09</t>
  </si>
  <si>
    <t>Spent (Jan-Jun '10)</t>
  </si>
  <si>
    <t>Spent (Jul-Dec '10)</t>
  </si>
  <si>
    <t>Balance at 6/30/08</t>
  </si>
  <si>
    <t>Spent Jul-Dec '08</t>
  </si>
  <si>
    <t>Paid 12/2/10</t>
  </si>
  <si>
    <t>3,341,024+1,169,982 =</t>
  </si>
  <si>
    <t>EXPEND OF $4.5</t>
  </si>
  <si>
    <t>EXPEND OF $3M</t>
  </si>
  <si>
    <t>+</t>
  </si>
  <si>
    <t>A</t>
  </si>
  <si>
    <t>Spent Jan-Dec 2011</t>
  </si>
  <si>
    <t>3,4,13</t>
  </si>
  <si>
    <t>6,14</t>
  </si>
  <si>
    <t>Orig grant amount-confirmed</t>
  </si>
  <si>
    <t>Reported balance @ 6/30/08</t>
  </si>
  <si>
    <t>EXPENDED</t>
  </si>
  <si>
    <t>By Year</t>
  </si>
  <si>
    <t>During 2007</t>
  </si>
  <si>
    <t>During 2008</t>
  </si>
  <si>
    <t>Sub total 12/31/07</t>
  </si>
  <si>
    <t>During 2006</t>
  </si>
  <si>
    <t>Bal @ 12/31/08</t>
  </si>
  <si>
    <t>BAL. OF $4.5m</t>
  </si>
  <si>
    <t>BAL. OF $7.5m</t>
  </si>
  <si>
    <t>Balance @ 6/30/11</t>
  </si>
  <si>
    <t>Paid 2009 (Jan&amp;Dec)</t>
  </si>
  <si>
    <t>Sub total</t>
  </si>
  <si>
    <t>Total 6/30/08</t>
  </si>
  <si>
    <t>During 2006=1,090,900</t>
  </si>
  <si>
    <t>During 2007=2,250,154</t>
  </si>
  <si>
    <t>Paid 2007</t>
  </si>
  <si>
    <t>Running Bal.</t>
  </si>
  <si>
    <t>Bal @ 12/31/06</t>
  </si>
  <si>
    <t>Bal @ 12/31/07</t>
  </si>
  <si>
    <t>Spent 2008</t>
  </si>
  <si>
    <t>10,14</t>
  </si>
  <si>
    <t>3,13</t>
  </si>
  <si>
    <t>10,13</t>
  </si>
  <si>
    <t>A,13</t>
  </si>
  <si>
    <t>Bal Dec 08 or 1/1/09</t>
  </si>
  <si>
    <t>let-have</t>
  </si>
  <si>
    <t>reports signed for:  jul-dec 2008 1,215,795</t>
  </si>
  <si>
    <t>spent 2010, 2,854,455</t>
  </si>
  <si>
    <t>old grant 2,597,437</t>
  </si>
  <si>
    <t>new form (chg id# 900 to 50.)</t>
  </si>
  <si>
    <t>pd 2010</t>
  </si>
  <si>
    <t>new for 9000…grant</t>
  </si>
  <si>
    <t>Spent Per year</t>
  </si>
  <si>
    <t>Each Grant</t>
  </si>
  <si>
    <t>For All Grants</t>
  </si>
  <si>
    <t>Balance Per Year</t>
  </si>
  <si>
    <t>Year</t>
  </si>
  <si>
    <t>Amount</t>
  </si>
  <si>
    <t>At</t>
  </si>
  <si>
    <t>12/31 of</t>
  </si>
  <si>
    <t>Jan-Jun</t>
  </si>
  <si>
    <t>Jul-Dec</t>
  </si>
  <si>
    <t>Jan-Dec</t>
  </si>
  <si>
    <t>Expend  carried to next grant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</si>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</sst>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m/dd/yy"/>
    <numFmt numFmtId="165" formatCode="&quot;$&quot;#,##0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3" fillId="0" borderId="0" xfId="0" applyFont="1" applyBorder="1"/>
    <xf numFmtId="0" fontId="2" fillId="0" borderId="3" xfId="0" applyFont="1" applyBorder="1"/>
    <xf numFmtId="165" fontId="2" fillId="0" borderId="0" xfId="0" applyNumberFormat="1" applyFont="1" applyBorder="1"/>
    <xf numFmtId="0" fontId="2" fillId="0" borderId="4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/>
    <xf numFmtId="14" fontId="2" fillId="0" borderId="0" xfId="0" applyNumberFormat="1" applyFont="1" applyBorder="1"/>
    <xf numFmtId="166" fontId="2" fillId="0" borderId="0" xfId="0" applyNumberFormat="1" applyFont="1" applyBorder="1"/>
    <xf numFmtId="8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/>
    <xf numFmtId="0" fontId="4" fillId="0" borderId="4" xfId="0" applyFont="1" applyBorder="1"/>
    <xf numFmtId="0" fontId="2" fillId="0" borderId="0" xfId="0" applyFont="1"/>
    <xf numFmtId="164" fontId="2" fillId="0" borderId="0" xfId="0" applyNumberFormat="1" applyFont="1"/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6" fontId="2" fillId="0" borderId="0" xfId="0" applyNumberFormat="1" applyFont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165" fontId="2" fillId="0" borderId="0" xfId="0" applyNumberFormat="1" applyFont="1"/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/>
    <xf numFmtId="164" fontId="2" fillId="0" borderId="7" xfId="0" applyNumberFormat="1" applyFont="1" applyBorder="1"/>
    <xf numFmtId="165" fontId="2" fillId="0" borderId="7" xfId="0" applyNumberFormat="1" applyFont="1" applyBorder="1"/>
    <xf numFmtId="14" fontId="2" fillId="0" borderId="7" xfId="0" applyNumberFormat="1" applyFont="1" applyBorder="1"/>
    <xf numFmtId="166" fontId="2" fillId="0" borderId="7" xfId="0" applyNumberFormat="1" applyFont="1" applyBorder="1"/>
    <xf numFmtId="0" fontId="6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wrapText="1"/>
    </xf>
    <xf numFmtId="14" fontId="2" fillId="0" borderId="2" xfId="0" applyNumberFormat="1" applyFont="1" applyBorder="1"/>
    <xf numFmtId="0" fontId="3" fillId="0" borderId="2" xfId="0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2" fillId="0" borderId="6" xfId="0" applyFont="1" applyBorder="1"/>
    <xf numFmtId="0" fontId="3" fillId="0" borderId="7" xfId="0" applyFont="1" applyBorder="1"/>
    <xf numFmtId="166" fontId="3" fillId="0" borderId="2" xfId="0" applyNumberFormat="1" applyFont="1" applyBorder="1"/>
    <xf numFmtId="0" fontId="0" fillId="0" borderId="0" xfId="0" applyBorder="1"/>
    <xf numFmtId="165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right"/>
    </xf>
    <xf numFmtId="166" fontId="0" fillId="0" borderId="0" xfId="0" applyNumberFormat="1"/>
    <xf numFmtId="14" fontId="0" fillId="0" borderId="0" xfId="0" applyNumberFormat="1"/>
    <xf numFmtId="0" fontId="8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Border="1"/>
    <xf numFmtId="0" fontId="1" fillId="0" borderId="0" xfId="0" applyFont="1"/>
    <xf numFmtId="4" fontId="0" fillId="0" borderId="0" xfId="0" applyNumberForma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0" fontId="11" fillId="0" borderId="0" xfId="0" applyFont="1"/>
    <xf numFmtId="4" fontId="11" fillId="0" borderId="0" xfId="0" applyNumberFormat="1" applyFont="1"/>
    <xf numFmtId="0" fontId="11" fillId="0" borderId="7" xfId="0" applyFont="1" applyBorder="1" applyAlignment="1">
      <alignment horizontal="right"/>
    </xf>
    <xf numFmtId="0" fontId="11" fillId="0" borderId="7" xfId="0" applyFont="1" applyBorder="1"/>
    <xf numFmtId="14" fontId="11" fillId="0" borderId="0" xfId="0" applyNumberFormat="1" applyFont="1"/>
    <xf numFmtId="4" fontId="11" fillId="0" borderId="2" xfId="0" applyNumberFormat="1" applyFont="1" applyBorder="1"/>
    <xf numFmtId="14" fontId="9" fillId="0" borderId="0" xfId="0" applyNumberFormat="1" applyFont="1"/>
    <xf numFmtId="4" fontId="12" fillId="0" borderId="0" xfId="0" applyNumberFormat="1" applyFont="1"/>
    <xf numFmtId="4" fontId="0" fillId="0" borderId="0" xfId="0" applyNumberFormat="1" applyAlignment="1">
      <alignment horizontal="right"/>
    </xf>
    <xf numFmtId="4" fontId="11" fillId="0" borderId="0" xfId="0" applyNumberFormat="1" applyFont="1" applyBorder="1"/>
    <xf numFmtId="0" fontId="0" fillId="0" borderId="0" xfId="0" applyAlignment="1">
      <alignment horizontal="right"/>
    </xf>
    <xf numFmtId="4" fontId="10" fillId="0" borderId="9" xfId="0" applyNumberFormat="1" applyFont="1" applyBorder="1"/>
    <xf numFmtId="4" fontId="10" fillId="0" borderId="0" xfId="0" applyNumberFormat="1" applyFont="1" applyBorder="1"/>
    <xf numFmtId="4" fontId="12" fillId="0" borderId="0" xfId="0" applyNumberFormat="1" applyFont="1" applyBorder="1"/>
    <xf numFmtId="4" fontId="13" fillId="0" borderId="0" xfId="0" applyNumberFormat="1" applyFont="1"/>
    <xf numFmtId="49" fontId="11" fillId="0" borderId="0" xfId="0" applyNumberFormat="1" applyFont="1" applyBorder="1" applyAlignment="1">
      <alignment horizontal="right"/>
    </xf>
    <xf numFmtId="4" fontId="0" fillId="0" borderId="0" xfId="0" applyNumberFormat="1" applyFont="1"/>
    <xf numFmtId="43" fontId="0" fillId="0" borderId="0" xfId="0" applyNumberFormat="1"/>
    <xf numFmtId="43" fontId="2" fillId="0" borderId="0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4" fontId="3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43" fontId="2" fillId="2" borderId="0" xfId="0" applyNumberFormat="1" applyFont="1" applyFill="1" applyBorder="1"/>
    <xf numFmtId="0" fontId="0" fillId="2" borderId="0" xfId="0" applyFill="1"/>
    <xf numFmtId="165" fontId="2" fillId="2" borderId="0" xfId="0" applyNumberFormat="1" applyFont="1" applyFill="1" applyBorder="1"/>
    <xf numFmtId="43" fontId="0" fillId="2" borderId="0" xfId="0" applyNumberFormat="1" applyFill="1"/>
    <xf numFmtId="164" fontId="2" fillId="2" borderId="0" xfId="0" applyNumberFormat="1" applyFont="1" applyFill="1" applyBorder="1"/>
    <xf numFmtId="4" fontId="2" fillId="0" borderId="2" xfId="0" applyNumberFormat="1" applyFont="1" applyBorder="1"/>
    <xf numFmtId="0" fontId="2" fillId="3" borderId="0" xfId="0" applyFont="1" applyFill="1" applyBorder="1"/>
    <xf numFmtId="43" fontId="2" fillId="3" borderId="0" xfId="0" applyNumberFormat="1" applyFont="1" applyFill="1" applyBorder="1"/>
    <xf numFmtId="164" fontId="2" fillId="3" borderId="0" xfId="0" applyNumberFormat="1" applyFont="1" applyFill="1" applyBorder="1"/>
    <xf numFmtId="165" fontId="2" fillId="3" borderId="0" xfId="0" applyNumberFormat="1" applyFont="1" applyFill="1" applyBorder="1"/>
    <xf numFmtId="43" fontId="0" fillId="3" borderId="0" xfId="0" applyNumberFormat="1" applyFill="1"/>
    <xf numFmtId="0" fontId="0" fillId="3" borderId="0" xfId="0" applyFill="1"/>
    <xf numFmtId="0" fontId="2" fillId="4" borderId="0" xfId="0" applyFont="1" applyFill="1" applyBorder="1"/>
    <xf numFmtId="43" fontId="0" fillId="4" borderId="0" xfId="0" applyNumberFormat="1" applyFill="1"/>
    <xf numFmtId="0" fontId="0" fillId="4" borderId="0" xfId="0" applyFill="1"/>
    <xf numFmtId="164" fontId="2" fillId="4" borderId="0" xfId="0" applyNumberFormat="1" applyFont="1" applyFill="1" applyBorder="1"/>
    <xf numFmtId="4" fontId="0" fillId="0" borderId="2" xfId="0" applyNumberFormat="1" applyBorder="1"/>
    <xf numFmtId="43" fontId="14" fillId="3" borderId="0" xfId="0" applyNumberFormat="1" applyFont="1" applyFill="1" applyBorder="1"/>
    <xf numFmtId="164" fontId="14" fillId="3" borderId="0" xfId="0" applyNumberFormat="1" applyFont="1" applyFill="1" applyBorder="1"/>
    <xf numFmtId="4" fontId="16" fillId="0" borderId="0" xfId="0" applyNumberFormat="1" applyFont="1" applyBorder="1"/>
    <xf numFmtId="4" fontId="17" fillId="0" borderId="0" xfId="0" applyNumberFormat="1" applyFont="1" applyBorder="1"/>
    <xf numFmtId="4" fontId="15" fillId="0" borderId="9" xfId="0" applyNumberFormat="1" applyFont="1" applyBorder="1"/>
    <xf numFmtId="4" fontId="14" fillId="0" borderId="9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4" fontId="18" fillId="0" borderId="0" xfId="0" applyNumberFormat="1" applyFont="1" applyBorder="1"/>
    <xf numFmtId="4" fontId="18" fillId="0" borderId="2" xfId="0" applyNumberFormat="1" applyFont="1" applyBorder="1"/>
    <xf numFmtId="4" fontId="19" fillId="0" borderId="0" xfId="0" applyNumberFormat="1" applyFont="1"/>
    <xf numFmtId="4" fontId="1" fillId="0" borderId="15" xfId="0" applyNumberFormat="1" applyFont="1" applyBorder="1"/>
    <xf numFmtId="4" fontId="0" fillId="0" borderId="7" xfId="0" applyNumberFormat="1" applyBorder="1"/>
    <xf numFmtId="43" fontId="0" fillId="0" borderId="7" xfId="0" applyNumberFormat="1" applyBorder="1"/>
    <xf numFmtId="3" fontId="0" fillId="0" borderId="0" xfId="0" applyNumberFormat="1"/>
    <xf numFmtId="3" fontId="0" fillId="0" borderId="7" xfId="0" applyNumberFormat="1" applyBorder="1"/>
    <xf numFmtId="37" fontId="0" fillId="0" borderId="16" xfId="0" applyNumberFormat="1" applyBorder="1"/>
    <xf numFmtId="3" fontId="0" fillId="0" borderId="16" xfId="0" applyNumberFormat="1" applyBorder="1"/>
    <xf numFmtId="49" fontId="2" fillId="0" borderId="0" xfId="0" applyNumberFormat="1" applyFont="1" applyBorder="1"/>
    <xf numFmtId="49" fontId="2" fillId="0" borderId="0" xfId="0" quotePrefix="1" applyNumberFormat="1" applyFon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4" fontId="20" fillId="0" borderId="0" xfId="0" applyNumberFormat="1" applyFont="1" applyBorder="1"/>
    <xf numFmtId="4" fontId="20" fillId="0" borderId="9" xfId="0" applyNumberFormat="1" applyFont="1" applyBorder="1"/>
    <xf numFmtId="4" fontId="1" fillId="0" borderId="0" xfId="0" applyNumberFormat="1" applyFont="1" applyAlignment="1">
      <alignment vertical="center"/>
    </xf>
    <xf numFmtId="4" fontId="16" fillId="0" borderId="14" xfId="0" applyNumberFormat="1" applyFont="1" applyBorder="1"/>
    <xf numFmtId="4" fontId="21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4" fontId="23" fillId="0" borderId="0" xfId="0" applyNumberFormat="1" applyFont="1" applyBorder="1"/>
    <xf numFmtId="4" fontId="24" fillId="0" borderId="2" xfId="0" applyNumberFormat="1" applyFont="1" applyBorder="1"/>
    <xf numFmtId="14" fontId="0" fillId="0" borderId="0" xfId="0" applyNumberFormat="1" applyAlignment="1">
      <alignment horizontal="right"/>
    </xf>
    <xf numFmtId="0" fontId="0" fillId="0" borderId="0" xfId="0" applyNumberFormat="1" applyBorder="1"/>
    <xf numFmtId="3" fontId="0" fillId="0" borderId="2" xfId="0" applyNumberFormat="1" applyBorder="1"/>
    <xf numFmtId="49" fontId="0" fillId="0" borderId="0" xfId="0" applyNumberFormat="1"/>
    <xf numFmtId="3" fontId="2" fillId="0" borderId="0" xfId="0" applyNumberFormat="1" applyFont="1" applyBorder="1"/>
    <xf numFmtId="3" fontId="2" fillId="0" borderId="2" xfId="0" applyNumberFormat="1" applyFont="1" applyBorder="1"/>
    <xf numFmtId="3" fontId="0" fillId="0" borderId="0" xfId="0" applyNumberFormat="1" applyFill="1"/>
    <xf numFmtId="0" fontId="0" fillId="0" borderId="0" xfId="0" applyFill="1"/>
    <xf numFmtId="0" fontId="4" fillId="0" borderId="0" xfId="0" applyFont="1" applyBorder="1"/>
    <xf numFmtId="3" fontId="0" fillId="0" borderId="0" xfId="0" applyNumberFormat="1" applyBorder="1"/>
    <xf numFmtId="3" fontId="2" fillId="0" borderId="0" xfId="0" applyNumberFormat="1" applyFont="1" applyFill="1" applyBorder="1"/>
    <xf numFmtId="3" fontId="25" fillId="0" borderId="0" xfId="0" applyNumberFormat="1" applyFont="1"/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3" fontId="27" fillId="5" borderId="0" xfId="0" applyNumberFormat="1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4" fontId="28" fillId="0" borderId="0" xfId="0" applyNumberFormat="1" applyFont="1" applyAlignment="1">
      <alignment horizontal="center"/>
    </xf>
    <xf numFmtId="4" fontId="28" fillId="0" borderId="0" xfId="0" applyNumberFormat="1" applyFont="1"/>
    <xf numFmtId="4" fontId="26" fillId="0" borderId="0" xfId="0" quotePrefix="1" applyNumberFormat="1" applyFont="1" applyAlignment="1">
      <alignment horizontal="right"/>
    </xf>
    <xf numFmtId="4" fontId="29" fillId="0" borderId="17" xfId="0" applyNumberFormat="1" applyFont="1" applyBorder="1"/>
    <xf numFmtId="4" fontId="2" fillId="0" borderId="0" xfId="0" applyNumberFormat="1" applyFont="1" applyBorder="1" applyAlignment="1">
      <alignment horizontal="right"/>
    </xf>
    <xf numFmtId="4" fontId="30" fillId="6" borderId="15" xfId="0" applyNumberFormat="1" applyFont="1" applyFill="1" applyBorder="1"/>
    <xf numFmtId="4" fontId="30" fillId="6" borderId="0" xfId="0" applyNumberFormat="1" applyFont="1" applyFill="1"/>
    <xf numFmtId="4" fontId="2" fillId="6" borderId="0" xfId="0" applyNumberFormat="1" applyFont="1" applyFill="1" applyBorder="1"/>
    <xf numFmtId="4" fontId="2" fillId="6" borderId="13" xfId="0" applyNumberFormat="1" applyFont="1" applyFill="1" applyBorder="1"/>
    <xf numFmtId="4" fontId="0" fillId="2" borderId="0" xfId="0" applyNumberFormat="1" applyFill="1"/>
    <xf numFmtId="3" fontId="0" fillId="2" borderId="0" xfId="0" applyNumberFormat="1" applyFill="1"/>
    <xf numFmtId="4" fontId="2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center"/>
    </xf>
    <xf numFmtId="3" fontId="0" fillId="0" borderId="7" xfId="0" applyNumberFormat="1" applyBorder="1" applyAlignment="1">
      <alignment horizontal="right"/>
    </xf>
    <xf numFmtId="14" fontId="0" fillId="0" borderId="0" xfId="0" applyNumberFormat="1" applyBorder="1"/>
    <xf numFmtId="3" fontId="27" fillId="2" borderId="0" xfId="0" applyNumberFormat="1" applyFont="1" applyFill="1" applyAlignment="1">
      <alignment horizontal="center"/>
    </xf>
    <xf numFmtId="4" fontId="2" fillId="0" borderId="7" xfId="0" applyNumberFormat="1" applyFont="1" applyBorder="1"/>
    <xf numFmtId="14" fontId="0" fillId="0" borderId="0" xfId="0" applyNumberFormat="1" applyBorder="1" applyAlignment="1">
      <alignment horizontal="right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0" xfId="0" applyNumberFormat="1"/>
    <xf numFmtId="0" fontId="0" fillId="0" borderId="9" xfId="0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7" borderId="0" xfId="0" applyFill="1"/>
    <xf numFmtId="3" fontId="0" fillId="7" borderId="0" xfId="0" applyNumberFormat="1" applyFill="1"/>
    <xf numFmtId="1" fontId="0" fillId="7" borderId="0" xfId="0" applyNumberFormat="1" applyFill="1"/>
    <xf numFmtId="3" fontId="0" fillId="0" borderId="18" xfId="0" applyNumberFormat="1" applyBorder="1"/>
    <xf numFmtId="1" fontId="0" fillId="0" borderId="0" xfId="0" applyNumberFormat="1" applyFill="1"/>
    <xf numFmtId="0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right" vertical="center"/>
    </xf>
    <xf numFmtId="3" fontId="27" fillId="5" borderId="0" xfId="0" applyNumberFormat="1" applyFont="1" applyFill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1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3" workbookViewId="0">
      <selection activeCell="I25" sqref="I25"/>
    </sheetView>
  </sheetViews>
  <sheetFormatPr defaultRowHeight="15" x14ac:dyDescent="0.25"/>
  <cols>
    <col min="1" max="1" width="33.140625" bestFit="1" customWidth="1"/>
    <col min="2" max="2" width="11.7109375" customWidth="1"/>
    <col min="3" max="3" width="8.140625" bestFit="1" customWidth="1"/>
    <col min="4" max="4" width="15.5703125" customWidth="1"/>
    <col min="5" max="5" width="10.140625" bestFit="1" customWidth="1"/>
    <col min="6" max="6" width="13.5703125" bestFit="1" customWidth="1"/>
    <col min="7" max="7" width="10.140625" bestFit="1" customWidth="1"/>
    <col min="8" max="8" width="12.7109375" bestFit="1" customWidth="1"/>
    <col min="9" max="9" width="25.85546875" bestFit="1" customWidth="1"/>
    <col min="10" max="10" width="12.7109375" customWidth="1"/>
    <col min="11" max="11" width="10.7109375" bestFit="1" customWidth="1"/>
    <col min="12" max="12" width="13" customWidth="1"/>
  </cols>
  <sheetData>
    <row r="1" spans="1:12" s="49" customFormat="1" ht="22.5" x14ac:dyDescent="0.2">
      <c r="A1" s="49" t="s">
        <v>7</v>
      </c>
      <c r="B1" s="49" t="s">
        <v>8</v>
      </c>
      <c r="C1" s="49" t="s">
        <v>9</v>
      </c>
      <c r="D1" s="49" t="s">
        <v>10</v>
      </c>
      <c r="E1" s="49" t="s">
        <v>11</v>
      </c>
      <c r="F1" s="49" t="s">
        <v>12</v>
      </c>
      <c r="G1" s="49" t="s">
        <v>13</v>
      </c>
      <c r="H1" s="49" t="s">
        <v>14</v>
      </c>
      <c r="I1" s="49" t="s">
        <v>15</v>
      </c>
    </row>
    <row r="2" spans="1:12" ht="30" x14ac:dyDescent="0.25">
      <c r="B2" s="36" t="s">
        <v>8</v>
      </c>
      <c r="C2" s="36" t="s">
        <v>9</v>
      </c>
      <c r="D2" s="36" t="s">
        <v>10</v>
      </c>
      <c r="E2" s="36" t="s">
        <v>11</v>
      </c>
      <c r="F2" s="36" t="s">
        <v>12</v>
      </c>
      <c r="G2" s="36" t="s">
        <v>13</v>
      </c>
      <c r="H2" s="36" t="s">
        <v>14</v>
      </c>
      <c r="I2" s="36" t="s">
        <v>15</v>
      </c>
    </row>
    <row r="5" spans="1:12" x14ac:dyDescent="0.25">
      <c r="A5" s="1" t="s">
        <v>1</v>
      </c>
      <c r="B5" s="2">
        <v>5001263</v>
      </c>
      <c r="C5" s="3">
        <v>38664</v>
      </c>
      <c r="D5" s="4">
        <v>1500000</v>
      </c>
      <c r="E5" s="4">
        <v>1500000</v>
      </c>
      <c r="F5" s="11">
        <v>38708</v>
      </c>
      <c r="G5" s="12">
        <v>38960</v>
      </c>
      <c r="H5" s="5">
        <v>1169982</v>
      </c>
      <c r="I5" s="38" t="s">
        <v>16</v>
      </c>
      <c r="J5" s="7"/>
      <c r="L5" s="5">
        <v>1090900.2</v>
      </c>
    </row>
    <row r="6" spans="1:12" x14ac:dyDescent="0.25">
      <c r="A6" s="17" t="s">
        <v>3</v>
      </c>
      <c r="B6" s="10"/>
      <c r="C6" s="11">
        <v>39029</v>
      </c>
      <c r="D6" s="8">
        <v>3000000</v>
      </c>
      <c r="E6" s="39">
        <v>3000000</v>
      </c>
      <c r="F6" s="11">
        <v>39059</v>
      </c>
      <c r="G6" s="48">
        <v>39119</v>
      </c>
      <c r="H6" s="40">
        <v>1090900.2</v>
      </c>
      <c r="I6" s="6" t="s">
        <v>17</v>
      </c>
      <c r="J6" s="27"/>
      <c r="L6" s="40">
        <v>1169982</v>
      </c>
    </row>
    <row r="7" spans="1:12" x14ac:dyDescent="0.25">
      <c r="A7" s="25" t="s">
        <v>18</v>
      </c>
      <c r="B7" s="10"/>
      <c r="C7" s="11"/>
      <c r="D7" s="8"/>
      <c r="E7" s="8">
        <f>SUM(E5:E6)</f>
        <v>4500000</v>
      </c>
      <c r="F7" s="11"/>
      <c r="G7" s="10"/>
      <c r="H7" s="13">
        <f>SUM(H5:H6)</f>
        <v>2260882.2000000002</v>
      </c>
      <c r="I7" s="6" t="s">
        <v>19</v>
      </c>
      <c r="J7" s="27"/>
      <c r="L7" s="47">
        <f>SUM(L5:L6)</f>
        <v>2260882.2000000002</v>
      </c>
    </row>
    <row r="8" spans="1:12" x14ac:dyDescent="0.25">
      <c r="A8" s="25"/>
      <c r="B8" s="10"/>
      <c r="C8" s="11"/>
      <c r="D8" s="8"/>
      <c r="E8" s="8"/>
      <c r="G8" s="12">
        <v>39608</v>
      </c>
      <c r="H8" s="40">
        <v>168256</v>
      </c>
      <c r="I8" s="6" t="s">
        <v>17</v>
      </c>
      <c r="J8" s="27"/>
    </row>
    <row r="9" spans="1:12" x14ac:dyDescent="0.25">
      <c r="A9" s="25"/>
      <c r="B9" s="10"/>
      <c r="C9" s="11"/>
      <c r="D9" s="8"/>
      <c r="E9" s="8"/>
      <c r="F9" s="11"/>
      <c r="G9" s="10"/>
      <c r="H9" s="13">
        <f>SUM(H7:H8)</f>
        <v>2429138.2000000002</v>
      </c>
      <c r="I9" s="6" t="s">
        <v>20</v>
      </c>
      <c r="J9" s="27"/>
    </row>
    <row r="10" spans="1:12" x14ac:dyDescent="0.25">
      <c r="A10" s="25"/>
      <c r="B10" s="10"/>
      <c r="C10" s="11"/>
      <c r="D10" s="8"/>
      <c r="E10" s="8"/>
      <c r="F10" s="11"/>
      <c r="G10" s="10"/>
      <c r="H10" s="13"/>
      <c r="I10" s="6" t="s">
        <v>21</v>
      </c>
      <c r="J10" s="27"/>
    </row>
    <row r="11" spans="1:12" x14ac:dyDescent="0.25">
      <c r="A11" s="41"/>
      <c r="B11" s="29"/>
      <c r="C11" s="30"/>
      <c r="D11" s="31"/>
      <c r="E11" s="31"/>
      <c r="F11" s="30"/>
      <c r="G11" s="29"/>
      <c r="H11" s="33"/>
      <c r="I11" s="42" t="s">
        <v>22</v>
      </c>
      <c r="J11" s="35"/>
    </row>
    <row r="13" spans="1:12" x14ac:dyDescent="0.25">
      <c r="A13" s="1" t="s">
        <v>1</v>
      </c>
      <c r="B13" s="2">
        <v>5001263</v>
      </c>
      <c r="C13" s="3">
        <v>39419</v>
      </c>
      <c r="D13" s="4">
        <v>3000000</v>
      </c>
      <c r="E13" s="4">
        <v>3000000</v>
      </c>
      <c r="F13" s="3">
        <v>39429</v>
      </c>
      <c r="G13" s="37">
        <v>39608</v>
      </c>
      <c r="H13" s="5">
        <v>168256</v>
      </c>
      <c r="I13" s="43" t="s">
        <v>23</v>
      </c>
      <c r="J13" s="7"/>
    </row>
    <row r="14" spans="1:12" x14ac:dyDescent="0.25">
      <c r="A14" s="17" t="s">
        <v>3</v>
      </c>
      <c r="B14" s="18"/>
      <c r="C14" s="19"/>
      <c r="D14" s="26"/>
      <c r="E14" s="26"/>
      <c r="F14" s="21" t="s">
        <v>24</v>
      </c>
      <c r="G14" s="19">
        <v>39749</v>
      </c>
      <c r="H14" s="22">
        <v>5102987</v>
      </c>
      <c r="I14" s="23" t="s">
        <v>25</v>
      </c>
      <c r="J14" s="27"/>
    </row>
    <row r="15" spans="1:12" x14ac:dyDescent="0.25">
      <c r="A15" s="25" t="s">
        <v>18</v>
      </c>
      <c r="B15" s="18"/>
      <c r="C15" s="19"/>
      <c r="D15" s="26"/>
      <c r="E15" s="26"/>
      <c r="F15" s="19"/>
      <c r="G15" s="18"/>
      <c r="H15" s="22"/>
      <c r="I15" s="23" t="s">
        <v>26</v>
      </c>
      <c r="J15" s="27"/>
    </row>
    <row r="16" spans="1:12" x14ac:dyDescent="0.25">
      <c r="A16" s="25"/>
      <c r="B16" s="18"/>
      <c r="C16" s="19"/>
      <c r="D16" s="26"/>
      <c r="E16" s="26"/>
      <c r="F16" s="19"/>
      <c r="G16" s="18"/>
      <c r="H16" s="22"/>
      <c r="I16" s="23" t="s">
        <v>27</v>
      </c>
      <c r="J16" s="27"/>
    </row>
    <row r="17" spans="1:15" x14ac:dyDescent="0.25">
      <c r="A17" s="41"/>
      <c r="B17" s="29"/>
      <c r="C17" s="30"/>
      <c r="D17" s="31"/>
      <c r="E17" s="31"/>
      <c r="F17" s="30"/>
      <c r="G17" s="29"/>
      <c r="H17" s="33"/>
      <c r="I17" s="42"/>
      <c r="J17" s="35"/>
    </row>
    <row r="18" spans="1:15" x14ac:dyDescent="0.25">
      <c r="A18" s="9" t="s">
        <v>1</v>
      </c>
      <c r="B18" s="10">
        <v>7001562</v>
      </c>
      <c r="C18" s="11">
        <v>39497</v>
      </c>
      <c r="D18" s="8">
        <v>25000</v>
      </c>
      <c r="E18" s="8">
        <v>25000</v>
      </c>
      <c r="F18" s="11">
        <v>39548</v>
      </c>
      <c r="G18" s="12">
        <v>40130</v>
      </c>
      <c r="H18" s="13">
        <v>25000</v>
      </c>
      <c r="I18" s="6" t="s">
        <v>28</v>
      </c>
      <c r="J18" s="15" t="s">
        <v>29</v>
      </c>
    </row>
    <row r="19" spans="1:15" x14ac:dyDescent="0.25">
      <c r="A19" s="17" t="s">
        <v>30</v>
      </c>
      <c r="B19" s="18"/>
      <c r="C19" s="19"/>
      <c r="D19" s="26"/>
      <c r="E19" s="26"/>
      <c r="F19" s="19"/>
      <c r="G19" s="18"/>
      <c r="H19" s="22"/>
      <c r="I19" s="18" t="s">
        <v>31</v>
      </c>
      <c r="J19" s="24"/>
    </row>
    <row r="20" spans="1:15" ht="26.25" x14ac:dyDescent="0.25">
      <c r="A20" s="9" t="s">
        <v>32</v>
      </c>
      <c r="B20" s="18"/>
      <c r="C20" s="19"/>
      <c r="D20" s="26"/>
      <c r="E20" s="26"/>
      <c r="F20" s="19"/>
      <c r="G20" s="18"/>
      <c r="H20" s="22"/>
      <c r="I20" s="18" t="s">
        <v>33</v>
      </c>
      <c r="J20" s="27"/>
    </row>
    <row r="21" spans="1:15" x14ac:dyDescent="0.25">
      <c r="A21" s="28"/>
      <c r="B21" s="29"/>
      <c r="C21" s="30"/>
      <c r="D21" s="31"/>
      <c r="E21" s="31"/>
      <c r="F21" s="30"/>
      <c r="G21" s="32"/>
      <c r="H21" s="33"/>
      <c r="I21" s="42"/>
      <c r="J21" s="35"/>
    </row>
    <row r="23" spans="1:15" x14ac:dyDescent="0.25">
      <c r="A23" s="25" t="s">
        <v>1</v>
      </c>
      <c r="B23" s="10">
        <v>5001263</v>
      </c>
      <c r="C23" s="11">
        <v>38664</v>
      </c>
      <c r="D23" s="8">
        <v>13500000</v>
      </c>
      <c r="E23" s="8">
        <v>3000000</v>
      </c>
      <c r="F23" s="11">
        <v>39822</v>
      </c>
      <c r="G23" s="12">
        <v>40599</v>
      </c>
      <c r="H23" s="13">
        <v>1729322</v>
      </c>
      <c r="I23" s="6" t="s">
        <v>34</v>
      </c>
      <c r="J23" s="24" t="s">
        <v>29</v>
      </c>
    </row>
    <row r="24" spans="1:15" x14ac:dyDescent="0.25">
      <c r="A24" s="17" t="s">
        <v>3</v>
      </c>
      <c r="B24" s="18"/>
      <c r="C24" s="19"/>
      <c r="D24" s="26"/>
      <c r="E24" s="26">
        <v>3000000</v>
      </c>
      <c r="F24" s="11">
        <v>40163</v>
      </c>
      <c r="G24" s="12">
        <v>40724</v>
      </c>
      <c r="H24" s="13">
        <f>2854455-1311335</f>
        <v>1543120</v>
      </c>
      <c r="I24" s="6" t="s">
        <v>35</v>
      </c>
      <c r="J24" s="27"/>
    </row>
    <row r="25" spans="1:15" x14ac:dyDescent="0.25">
      <c r="A25" s="25" t="s">
        <v>5</v>
      </c>
      <c r="B25" s="18"/>
      <c r="C25" s="19"/>
      <c r="D25" s="26"/>
      <c r="E25" s="4">
        <f>SUM(E23:E24)</f>
        <v>6000000</v>
      </c>
      <c r="F25" s="19"/>
      <c r="G25" s="12"/>
      <c r="H25" s="5">
        <f>SUM(H23:H24)</f>
        <v>3272442</v>
      </c>
      <c r="I25" s="23" t="s">
        <v>36</v>
      </c>
      <c r="J25" s="27"/>
    </row>
    <row r="26" spans="1:15" x14ac:dyDescent="0.25">
      <c r="A26" s="25"/>
      <c r="B26" s="18"/>
      <c r="C26" s="19"/>
      <c r="D26" s="26" t="s">
        <v>37</v>
      </c>
      <c r="E26" s="31">
        <v>1181219</v>
      </c>
      <c r="F26" s="19"/>
      <c r="G26" s="18"/>
      <c r="H26" s="22"/>
      <c r="I26" s="23" t="s">
        <v>38</v>
      </c>
      <c r="J26" s="27"/>
    </row>
    <row r="27" spans="1:15" x14ac:dyDescent="0.25">
      <c r="A27" s="41"/>
      <c r="B27" s="29"/>
      <c r="C27" s="30"/>
      <c r="D27" s="31" t="s">
        <v>39</v>
      </c>
      <c r="E27" s="31">
        <f>SUM(E25:E26)</f>
        <v>7181219</v>
      </c>
      <c r="F27" s="31">
        <v>-3908777</v>
      </c>
      <c r="G27" s="31">
        <f>SUM(E27:F27)</f>
        <v>3272442</v>
      </c>
      <c r="H27" s="33"/>
      <c r="I27" s="42"/>
      <c r="J27" s="35"/>
    </row>
    <row r="28" spans="1:15" x14ac:dyDescent="0.25">
      <c r="A28" s="8">
        <v>1181219</v>
      </c>
      <c r="B28" s="8" t="s">
        <v>40</v>
      </c>
      <c r="C28" s="44"/>
      <c r="D28" s="176" t="s">
        <v>41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  <row r="29" spans="1:15" x14ac:dyDescent="0.25">
      <c r="A29" s="16">
        <v>6000000</v>
      </c>
      <c r="B29" s="8" t="s">
        <v>42</v>
      </c>
      <c r="D29" t="s">
        <v>43</v>
      </c>
    </row>
    <row r="30" spans="1:15" x14ac:dyDescent="0.25">
      <c r="A30" s="8">
        <f>SUM(A28:A29)</f>
        <v>7181219</v>
      </c>
      <c r="B30" s="8" t="s">
        <v>44</v>
      </c>
    </row>
    <row r="31" spans="1:15" x14ac:dyDescent="0.25">
      <c r="A31" s="16">
        <v>-3908777</v>
      </c>
      <c r="B31" s="8" t="s">
        <v>45</v>
      </c>
      <c r="F31" s="47">
        <v>5451897</v>
      </c>
    </row>
    <row r="32" spans="1:15" x14ac:dyDescent="0.25">
      <c r="A32" s="8">
        <f>SUM(A30:A31)</f>
        <v>3272442</v>
      </c>
      <c r="B32" s="8"/>
      <c r="F32" s="47">
        <v>-2854455</v>
      </c>
      <c r="O32">
        <v>2179455</v>
      </c>
    </row>
    <row r="33" spans="1:15" x14ac:dyDescent="0.25">
      <c r="A33" s="8">
        <v>-675000</v>
      </c>
      <c r="B33" s="8" t="s">
        <v>46</v>
      </c>
      <c r="F33" s="47">
        <f>SUM(F31:F32)</f>
        <v>2597442</v>
      </c>
      <c r="O33">
        <v>675000</v>
      </c>
    </row>
    <row r="34" spans="1:15" x14ac:dyDescent="0.25">
      <c r="A34" s="8">
        <f>SUM(A32:A33)</f>
        <v>2597442</v>
      </c>
      <c r="B34" s="45" t="s">
        <v>47</v>
      </c>
      <c r="O34">
        <f>SUM(O32:O33)</f>
        <v>2854455</v>
      </c>
    </row>
    <row r="36" spans="1:15" x14ac:dyDescent="0.25">
      <c r="A36" s="44">
        <f>3272442-4583777</f>
        <v>-1311335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5">
      <c r="A38" s="1"/>
      <c r="B38" s="2"/>
      <c r="C38" s="3"/>
      <c r="D38" s="4"/>
      <c r="E38" s="4"/>
      <c r="F38" s="3"/>
      <c r="G38" s="2"/>
      <c r="H38" s="5"/>
      <c r="I38" s="6" t="s">
        <v>0</v>
      </c>
      <c r="J38" s="7"/>
      <c r="K38" s="8">
        <v>3000000</v>
      </c>
    </row>
    <row r="39" spans="1:15" x14ac:dyDescent="0.25">
      <c r="A39" s="9" t="s">
        <v>1</v>
      </c>
      <c r="B39" s="10">
        <v>9001430</v>
      </c>
      <c r="C39" s="11">
        <v>40232</v>
      </c>
      <c r="D39" s="8">
        <v>3000000</v>
      </c>
      <c r="E39" s="8">
        <v>3000000</v>
      </c>
      <c r="F39" s="11">
        <v>40514</v>
      </c>
      <c r="G39" s="12">
        <v>40599</v>
      </c>
      <c r="H39" s="13">
        <v>1769183</v>
      </c>
      <c r="I39" s="14" t="s">
        <v>2</v>
      </c>
      <c r="J39" s="15"/>
      <c r="K39" s="16">
        <v>-1769183</v>
      </c>
    </row>
    <row r="40" spans="1:15" x14ac:dyDescent="0.25">
      <c r="A40" s="17" t="s">
        <v>3</v>
      </c>
      <c r="B40" s="18"/>
      <c r="C40" s="19"/>
      <c r="D40" s="20"/>
      <c r="E40" s="21"/>
      <c r="F40" s="21"/>
      <c r="G40" s="18"/>
      <c r="H40" s="22"/>
      <c r="I40" s="23" t="s">
        <v>4</v>
      </c>
      <c r="J40" s="24"/>
      <c r="K40" s="8">
        <f>SUM(K38:K39)</f>
        <v>1230817</v>
      </c>
    </row>
    <row r="41" spans="1:15" x14ac:dyDescent="0.25">
      <c r="A41" s="25" t="s">
        <v>5</v>
      </c>
      <c r="B41" s="18"/>
      <c r="C41" s="19"/>
      <c r="D41" s="26"/>
      <c r="E41" s="19"/>
      <c r="F41" s="19"/>
      <c r="G41" s="18"/>
      <c r="H41" s="22"/>
      <c r="I41" s="6" t="s">
        <v>6</v>
      </c>
      <c r="J41" s="27"/>
    </row>
    <row r="42" spans="1:15" ht="15.75" x14ac:dyDescent="0.25">
      <c r="A42" s="28"/>
      <c r="B42" s="29"/>
      <c r="C42" s="30"/>
      <c r="D42" s="31"/>
      <c r="E42" s="31"/>
      <c r="F42" s="8"/>
      <c r="G42" s="32"/>
      <c r="H42" s="33"/>
      <c r="I42" s="34"/>
      <c r="J42" s="35"/>
      <c r="K42" s="34"/>
    </row>
    <row r="44" spans="1:15" x14ac:dyDescent="0.25">
      <c r="A44" s="9" t="s">
        <v>1</v>
      </c>
      <c r="B44" s="46" t="s">
        <v>48</v>
      </c>
      <c r="C44" s="11">
        <v>40855</v>
      </c>
      <c r="D44" s="8">
        <v>3000000</v>
      </c>
      <c r="E44" s="8">
        <v>3000000</v>
      </c>
      <c r="F44" s="11">
        <v>40887</v>
      </c>
      <c r="G44" s="12">
        <v>40954</v>
      </c>
      <c r="H44" s="13">
        <v>17566</v>
      </c>
      <c r="I44" s="38" t="s">
        <v>49</v>
      </c>
      <c r="J44" s="15"/>
    </row>
    <row r="45" spans="1:15" x14ac:dyDescent="0.25">
      <c r="A45" s="17" t="s">
        <v>30</v>
      </c>
      <c r="B45" s="18"/>
      <c r="C45" s="19"/>
      <c r="D45" s="20"/>
      <c r="E45" s="21"/>
      <c r="F45" s="21"/>
      <c r="G45" s="18"/>
      <c r="H45" s="22"/>
      <c r="I45" s="14" t="s">
        <v>50</v>
      </c>
      <c r="J45" s="24"/>
    </row>
    <row r="46" spans="1:15" x14ac:dyDescent="0.25">
      <c r="A46" s="25" t="s">
        <v>51</v>
      </c>
      <c r="B46" s="18"/>
      <c r="C46" s="19"/>
      <c r="D46" s="26"/>
      <c r="E46" s="19"/>
      <c r="F46" s="19"/>
      <c r="G46" s="18"/>
      <c r="H46" s="22"/>
      <c r="I46" s="23" t="s">
        <v>52</v>
      </c>
      <c r="J46" s="27"/>
    </row>
    <row r="47" spans="1:15" x14ac:dyDescent="0.25">
      <c r="A47" s="28"/>
      <c r="B47" s="29"/>
      <c r="C47" s="30"/>
      <c r="D47" s="31"/>
      <c r="E47" s="31"/>
      <c r="F47" s="31"/>
      <c r="G47" s="32"/>
      <c r="H47" s="33"/>
      <c r="I47" s="42"/>
      <c r="J47" s="35"/>
    </row>
  </sheetData>
  <mergeCells count="1">
    <mergeCell ref="D28:O28"/>
  </mergeCells>
  <printOptions gridLines="1"/>
  <pageMargins left="0.25" right="0.25" top="0.75" bottom="0.75" header="0.3" footer="0.3"/>
  <pageSetup orientation="landscape" r:id="rId1"/>
  <headerFooter>
    <oddHeader>&amp;CCHARTER GROWTH FUND
EXPENDITURE ACCOUNTING REPORTS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defaultRowHeight="15" x14ac:dyDescent="0.25"/>
  <cols>
    <col min="1" max="1" width="14.140625" customWidth="1"/>
    <col min="2" max="2" width="18.7109375" style="75" customWidth="1"/>
    <col min="3" max="3" width="19.140625" customWidth="1"/>
    <col min="4" max="4" width="26" bestFit="1" customWidth="1"/>
    <col min="5" max="5" width="18.42578125" style="48" customWidth="1"/>
    <col min="6" max="6" width="16.5703125" style="50" customWidth="1"/>
    <col min="7" max="7" width="19.85546875" style="50" customWidth="1"/>
    <col min="8" max="8" width="15.42578125" style="50" customWidth="1"/>
    <col min="9" max="10" width="15.5703125" style="50" customWidth="1"/>
    <col min="11" max="11" width="12.85546875" style="50" bestFit="1" customWidth="1"/>
    <col min="12" max="12" width="11.7109375" style="50" bestFit="1" customWidth="1"/>
    <col min="13" max="13" width="9.140625" style="50"/>
  </cols>
  <sheetData>
    <row r="1" spans="1:13" x14ac:dyDescent="0.25">
      <c r="A1" t="s">
        <v>102</v>
      </c>
      <c r="F1" s="50" t="s">
        <v>134</v>
      </c>
      <c r="G1" s="50" t="s">
        <v>135</v>
      </c>
      <c r="H1" s="50" t="s">
        <v>144</v>
      </c>
      <c r="I1" s="50" t="s">
        <v>153</v>
      </c>
      <c r="J1" s="50" t="s">
        <v>145</v>
      </c>
    </row>
    <row r="3" spans="1:13" ht="14.25" customHeight="1" x14ac:dyDescent="0.25">
      <c r="A3" s="10" t="s">
        <v>104</v>
      </c>
      <c r="B3" s="76">
        <v>5102987</v>
      </c>
      <c r="C3" s="11" t="s">
        <v>103</v>
      </c>
      <c r="D3" s="8" t="s">
        <v>105</v>
      </c>
      <c r="E3" s="12">
        <v>38708</v>
      </c>
      <c r="F3" s="51">
        <v>1500000</v>
      </c>
      <c r="G3" s="51"/>
      <c r="H3" s="51"/>
      <c r="J3" s="51" t="s">
        <v>138</v>
      </c>
      <c r="K3" s="79"/>
      <c r="L3" s="51"/>
    </row>
    <row r="4" spans="1:13" ht="14.25" customHeight="1" x14ac:dyDescent="0.25">
      <c r="A4" s="88" t="s">
        <v>106</v>
      </c>
      <c r="B4" s="99">
        <v>1169982</v>
      </c>
      <c r="C4" s="100" t="s">
        <v>150</v>
      </c>
      <c r="D4" s="100" t="s">
        <v>107</v>
      </c>
      <c r="E4" s="12">
        <v>39059</v>
      </c>
      <c r="F4" s="51">
        <v>3000000</v>
      </c>
      <c r="G4" s="51"/>
      <c r="H4" s="51">
        <v>3000000</v>
      </c>
      <c r="I4" s="50" t="s">
        <v>141</v>
      </c>
      <c r="J4" s="51">
        <v>7500000</v>
      </c>
      <c r="K4" s="79"/>
      <c r="L4" s="80"/>
    </row>
    <row r="5" spans="1:13" ht="14.25" customHeight="1" x14ac:dyDescent="0.25">
      <c r="A5" s="88" t="s">
        <v>106</v>
      </c>
      <c r="B5" s="89">
        <v>2099353</v>
      </c>
      <c r="C5" s="90" t="s">
        <v>108</v>
      </c>
      <c r="D5" s="91"/>
      <c r="E5" s="12" t="s">
        <v>155</v>
      </c>
      <c r="F5" s="87">
        <f>SUM(F3:F4)</f>
        <v>4500000</v>
      </c>
      <c r="G5" s="51">
        <v>-1090900</v>
      </c>
      <c r="H5" s="51"/>
      <c r="I5" s="51">
        <f>F5+G5</f>
        <v>3409100</v>
      </c>
      <c r="J5" s="51"/>
      <c r="K5" s="79" t="s">
        <v>133</v>
      </c>
      <c r="L5" s="51"/>
    </row>
    <row r="6" spans="1:13" ht="14.25" customHeight="1" x14ac:dyDescent="0.25">
      <c r="A6" s="88" t="s">
        <v>106</v>
      </c>
      <c r="B6" s="89">
        <v>3409100</v>
      </c>
      <c r="C6" s="90" t="s">
        <v>109</v>
      </c>
      <c r="D6" s="91" t="s">
        <v>113</v>
      </c>
      <c r="E6" s="12"/>
      <c r="F6" s="51">
        <v>-3341024</v>
      </c>
      <c r="G6" s="104">
        <f>1090900-1169982</f>
        <v>-79082</v>
      </c>
      <c r="H6" s="51"/>
      <c r="I6" s="51">
        <f>I5+G6</f>
        <v>3330018</v>
      </c>
      <c r="J6" s="51"/>
      <c r="K6" s="79" t="s">
        <v>107</v>
      </c>
      <c r="L6" s="103">
        <f>1090900-1309746</f>
        <v>-218846</v>
      </c>
    </row>
    <row r="7" spans="1:13" ht="14.25" customHeight="1" x14ac:dyDescent="0.25">
      <c r="A7" s="88" t="s">
        <v>110</v>
      </c>
      <c r="B7" s="89">
        <v>2250154</v>
      </c>
      <c r="C7" s="90" t="s">
        <v>139</v>
      </c>
      <c r="D7" s="91"/>
      <c r="E7" s="12" t="s">
        <v>154</v>
      </c>
      <c r="F7" s="51"/>
      <c r="G7" s="50">
        <f>-3341024+1169982</f>
        <v>-2171042</v>
      </c>
      <c r="I7" s="107">
        <f>I6+G7</f>
        <v>1158976</v>
      </c>
      <c r="J7" s="107">
        <v>-3990720</v>
      </c>
      <c r="L7" s="51"/>
    </row>
    <row r="8" spans="1:13" x14ac:dyDescent="0.25">
      <c r="A8" s="81" t="s">
        <v>111</v>
      </c>
      <c r="B8" s="82">
        <v>1090900</v>
      </c>
      <c r="C8" s="83">
        <v>2006</v>
      </c>
      <c r="D8" s="84" t="s">
        <v>112</v>
      </c>
      <c r="E8" s="12"/>
      <c r="F8" s="102">
        <v>3341024</v>
      </c>
      <c r="G8" s="110">
        <f>SUM(G5:G7)</f>
        <v>-3341024</v>
      </c>
      <c r="H8" s="111">
        <v>-1112267</v>
      </c>
      <c r="I8" s="51">
        <f>I7+G8</f>
        <v>-2182048</v>
      </c>
      <c r="J8" s="98">
        <f>SUM(J4:J7)</f>
        <v>3509280</v>
      </c>
      <c r="K8" s="79" t="s">
        <v>137</v>
      </c>
      <c r="L8" s="51"/>
      <c r="M8" s="50" t="s">
        <v>140</v>
      </c>
    </row>
    <row r="9" spans="1:13" x14ac:dyDescent="0.25">
      <c r="A9" s="81" t="s">
        <v>111</v>
      </c>
      <c r="B9" s="85">
        <v>3409100</v>
      </c>
      <c r="C9" s="86" t="s">
        <v>124</v>
      </c>
      <c r="D9" s="83" t="s">
        <v>118</v>
      </c>
      <c r="E9" s="12"/>
      <c r="F9" s="102"/>
      <c r="G9" s="177">
        <f>G8+H8</f>
        <v>-4453291</v>
      </c>
      <c r="H9" s="177"/>
      <c r="I9" s="51">
        <v>-1593707</v>
      </c>
      <c r="J9" s="50">
        <f>J8+I9</f>
        <v>1915573</v>
      </c>
      <c r="L9" s="51"/>
    </row>
    <row r="10" spans="1:13" x14ac:dyDescent="0.25">
      <c r="A10" s="81" t="s">
        <v>114</v>
      </c>
      <c r="B10" s="85">
        <v>1090900</v>
      </c>
      <c r="C10" s="86" t="s">
        <v>125</v>
      </c>
      <c r="D10" s="83" t="s">
        <v>112</v>
      </c>
      <c r="E10" s="12"/>
      <c r="F10" s="102"/>
      <c r="H10" s="50">
        <v>168256</v>
      </c>
      <c r="I10" s="51"/>
      <c r="J10" s="51">
        <v>-5102987</v>
      </c>
      <c r="K10" s="101" t="s">
        <v>158</v>
      </c>
      <c r="L10" s="51"/>
    </row>
    <row r="11" spans="1:13" x14ac:dyDescent="0.25">
      <c r="A11" s="88" t="s">
        <v>106</v>
      </c>
      <c r="B11" s="92">
        <v>1169982</v>
      </c>
      <c r="C11" s="90" t="s">
        <v>107</v>
      </c>
      <c r="D11" s="93"/>
      <c r="E11" s="48">
        <v>39429</v>
      </c>
      <c r="F11" s="51">
        <v>3000000</v>
      </c>
      <c r="G11" s="50">
        <v>-3341024</v>
      </c>
      <c r="H11" s="51">
        <v>-168256</v>
      </c>
      <c r="I11" s="51"/>
      <c r="J11" s="51">
        <v>3990720</v>
      </c>
      <c r="K11" s="79"/>
      <c r="L11" s="51">
        <f>F11+H11</f>
        <v>2831744</v>
      </c>
    </row>
    <row r="12" spans="1:13" x14ac:dyDescent="0.25">
      <c r="A12" s="88" t="s">
        <v>115</v>
      </c>
      <c r="B12" s="92">
        <v>1169982</v>
      </c>
      <c r="C12" s="90" t="s">
        <v>116</v>
      </c>
      <c r="D12" s="93"/>
      <c r="F12" s="51">
        <v>-168256</v>
      </c>
      <c r="G12" s="50">
        <v>3341024</v>
      </c>
      <c r="H12" s="98">
        <f>SUM(H4:H11)</f>
        <v>1887733</v>
      </c>
      <c r="I12" s="50">
        <f>I8+H12</f>
        <v>-294315</v>
      </c>
      <c r="J12" s="51"/>
    </row>
    <row r="13" spans="1:13" x14ac:dyDescent="0.25">
      <c r="A13" s="94" t="s">
        <v>117</v>
      </c>
      <c r="B13" s="95">
        <f>2059440+190684</f>
        <v>2250124</v>
      </c>
      <c r="C13" s="96" t="s">
        <v>119</v>
      </c>
      <c r="D13" s="51">
        <f>2250124-1080142</f>
        <v>1169982</v>
      </c>
      <c r="F13" s="108">
        <f>SUM(F11:F12)</f>
        <v>2831744</v>
      </c>
      <c r="G13" s="50">
        <v>-1169982</v>
      </c>
    </row>
    <row r="14" spans="1:13" x14ac:dyDescent="0.25">
      <c r="A14" s="94" t="s">
        <v>117</v>
      </c>
      <c r="B14" s="95">
        <f>113775+54481</f>
        <v>168256</v>
      </c>
      <c r="C14" s="97" t="s">
        <v>120</v>
      </c>
      <c r="D14" s="96"/>
      <c r="F14" s="50" t="s">
        <v>149</v>
      </c>
      <c r="G14" s="50">
        <v>-2397013</v>
      </c>
      <c r="K14" s="50" t="s">
        <v>143</v>
      </c>
    </row>
    <row r="15" spans="1:13" x14ac:dyDescent="0.25">
      <c r="A15" s="94" t="s">
        <v>117</v>
      </c>
      <c r="B15" s="95">
        <f>3000000-168256</f>
        <v>2831744</v>
      </c>
      <c r="C15" s="97" t="s">
        <v>121</v>
      </c>
      <c r="D15" s="96" t="s">
        <v>136</v>
      </c>
      <c r="F15" s="50">
        <v>4500000</v>
      </c>
      <c r="G15" s="50">
        <v>-3341024</v>
      </c>
      <c r="H15" s="105">
        <f>SUM(F15:G15)</f>
        <v>1158976</v>
      </c>
      <c r="I15" s="106" t="s">
        <v>137</v>
      </c>
      <c r="L15" s="50" t="s">
        <v>152</v>
      </c>
    </row>
    <row r="16" spans="1:13" x14ac:dyDescent="0.25">
      <c r="A16" s="94" t="s">
        <v>122</v>
      </c>
      <c r="B16" s="95">
        <v>168256</v>
      </c>
      <c r="C16" s="97" t="s">
        <v>142</v>
      </c>
      <c r="D16" s="96"/>
      <c r="H16" s="50">
        <v>-2138024</v>
      </c>
      <c r="L16" s="50" t="s">
        <v>78</v>
      </c>
    </row>
    <row r="17" spans="1:13" x14ac:dyDescent="0.25">
      <c r="A17" s="94" t="s">
        <v>122</v>
      </c>
      <c r="B17" s="95">
        <v>3341024</v>
      </c>
      <c r="C17" s="97" t="s">
        <v>123</v>
      </c>
      <c r="D17" s="96"/>
      <c r="E17" s="48" t="s">
        <v>157</v>
      </c>
      <c r="F17" s="50">
        <v>1090900</v>
      </c>
      <c r="G17" s="50">
        <f>1309746-1090900</f>
        <v>218846</v>
      </c>
      <c r="L17" s="50">
        <v>168256</v>
      </c>
    </row>
    <row r="18" spans="1:13" x14ac:dyDescent="0.25">
      <c r="A18" s="77" t="s">
        <v>126</v>
      </c>
      <c r="B18" s="75">
        <f>1402482+191224</f>
        <v>1593706</v>
      </c>
      <c r="C18" s="78" t="s">
        <v>127</v>
      </c>
      <c r="E18" s="48" t="s">
        <v>156</v>
      </c>
      <c r="F18" s="50">
        <v>2250154</v>
      </c>
      <c r="I18" s="50">
        <v>-7500000</v>
      </c>
      <c r="L18" s="50">
        <v>3341024</v>
      </c>
    </row>
    <row r="19" spans="1:13" x14ac:dyDescent="0.25">
      <c r="A19" s="77" t="s">
        <v>126</v>
      </c>
      <c r="B19" s="75">
        <v>3990720</v>
      </c>
      <c r="C19" s="78" t="s">
        <v>128</v>
      </c>
      <c r="D19" s="75">
        <v>3990720</v>
      </c>
      <c r="F19" s="50">
        <f>SUM(F17:F18)</f>
        <v>3341054</v>
      </c>
      <c r="I19" s="109">
        <v>3990720</v>
      </c>
      <c r="L19" s="98">
        <f>SUM(L17:L18)</f>
        <v>3509280</v>
      </c>
    </row>
    <row r="20" spans="1:13" x14ac:dyDescent="0.25">
      <c r="A20" s="77" t="s">
        <v>126</v>
      </c>
      <c r="B20" s="75">
        <v>2397013</v>
      </c>
      <c r="C20" s="78" t="s">
        <v>129</v>
      </c>
      <c r="D20" s="112">
        <v>-2397013</v>
      </c>
      <c r="H20" s="50">
        <v>-944011</v>
      </c>
      <c r="I20" s="50">
        <f>SUM(I18:I19)</f>
        <v>-3509280</v>
      </c>
    </row>
    <row r="21" spans="1:13" x14ac:dyDescent="0.25">
      <c r="A21" s="77" t="s">
        <v>130</v>
      </c>
      <c r="B21" s="75" t="s">
        <v>131</v>
      </c>
      <c r="C21" s="78" t="s">
        <v>127</v>
      </c>
      <c r="D21" s="75">
        <f>SUM(D19:D20)</f>
        <v>1593707</v>
      </c>
      <c r="G21" s="50">
        <f>2250154-1169982</f>
        <v>1080172</v>
      </c>
      <c r="J21" s="50">
        <v>3990720</v>
      </c>
      <c r="K21" s="50" t="s">
        <v>146</v>
      </c>
    </row>
    <row r="22" spans="1:13" x14ac:dyDescent="0.25">
      <c r="A22" s="77" t="s">
        <v>104</v>
      </c>
      <c r="B22" s="75">
        <v>5102987</v>
      </c>
      <c r="C22" s="78" t="s">
        <v>132</v>
      </c>
      <c r="D22" s="75"/>
      <c r="J22" s="50">
        <v>-1593706</v>
      </c>
      <c r="K22" s="50" t="s">
        <v>147</v>
      </c>
    </row>
    <row r="23" spans="1:13" x14ac:dyDescent="0.25">
      <c r="J23" s="98">
        <f>SUM(J21:J22)</f>
        <v>2397014</v>
      </c>
      <c r="K23" s="50" t="s">
        <v>148</v>
      </c>
    </row>
    <row r="24" spans="1:13" x14ac:dyDescent="0.25">
      <c r="F24" s="48"/>
    </row>
    <row r="25" spans="1:13" x14ac:dyDescent="0.25">
      <c r="A25" s="77" t="s">
        <v>151</v>
      </c>
      <c r="B25" s="75">
        <f>1309746-1169982</f>
        <v>139764</v>
      </c>
      <c r="F25" s="98" t="s">
        <v>134</v>
      </c>
      <c r="G25" s="98" t="s">
        <v>135</v>
      </c>
      <c r="H25" s="98" t="s">
        <v>144</v>
      </c>
      <c r="I25" s="98" t="s">
        <v>153</v>
      </c>
      <c r="J25" s="98" t="s">
        <v>145</v>
      </c>
    </row>
    <row r="27" spans="1:13" x14ac:dyDescent="0.25">
      <c r="E27" s="12">
        <v>38708</v>
      </c>
      <c r="F27" s="51">
        <v>1500000</v>
      </c>
      <c r="G27" s="51"/>
      <c r="H27" s="51"/>
      <c r="J27" s="51" t="s">
        <v>138</v>
      </c>
      <c r="K27" s="79"/>
      <c r="L27" s="51"/>
    </row>
    <row r="28" spans="1:13" x14ac:dyDescent="0.25">
      <c r="E28" s="12">
        <v>39059</v>
      </c>
      <c r="F28" s="51">
        <v>3000000</v>
      </c>
      <c r="G28" s="51"/>
      <c r="H28" s="51">
        <v>3000000</v>
      </c>
      <c r="I28" s="50" t="s">
        <v>141</v>
      </c>
      <c r="J28" s="51">
        <v>7500000</v>
      </c>
      <c r="K28" s="79"/>
      <c r="L28" s="80"/>
    </row>
    <row r="29" spans="1:13" x14ac:dyDescent="0.25">
      <c r="E29" s="12" t="s">
        <v>155</v>
      </c>
      <c r="F29" s="87">
        <f>SUM(F27:F28)</f>
        <v>4500000</v>
      </c>
      <c r="G29" s="51">
        <v>-1090900</v>
      </c>
      <c r="H29" s="51"/>
      <c r="I29" s="51">
        <f>F29+G29</f>
        <v>3409100</v>
      </c>
      <c r="J29" s="51"/>
      <c r="K29" s="79" t="s">
        <v>133</v>
      </c>
      <c r="L29" s="51"/>
    </row>
    <row r="30" spans="1:13" x14ac:dyDescent="0.25">
      <c r="E30" s="12"/>
      <c r="F30" s="51">
        <v>-3341024</v>
      </c>
      <c r="G30" s="104">
        <f>1090900-1169982</f>
        <v>-79082</v>
      </c>
      <c r="H30" s="51"/>
      <c r="I30" s="51">
        <f>I29+G30</f>
        <v>3330018</v>
      </c>
      <c r="J30" s="51">
        <v>-3509280</v>
      </c>
      <c r="K30" s="79" t="s">
        <v>107</v>
      </c>
      <c r="L30" s="103">
        <f>1090900-1309746</f>
        <v>-218846</v>
      </c>
    </row>
    <row r="31" spans="1:13" x14ac:dyDescent="0.25">
      <c r="E31" s="12" t="s">
        <v>154</v>
      </c>
      <c r="F31" s="51"/>
      <c r="G31" s="50">
        <f>3341024-4500000</f>
        <v>-1158976</v>
      </c>
      <c r="I31" s="51">
        <f>I30+G31</f>
        <v>2171042</v>
      </c>
      <c r="J31" s="51"/>
      <c r="K31" s="79" t="s">
        <v>137</v>
      </c>
      <c r="L31" s="51"/>
      <c r="M31" s="50" t="s">
        <v>140</v>
      </c>
    </row>
    <row r="32" spans="1:13" x14ac:dyDescent="0.25">
      <c r="E32" s="12"/>
      <c r="F32" s="102">
        <v>3341024</v>
      </c>
      <c r="G32" s="50">
        <f>SUM(G29:G31)</f>
        <v>-2328958</v>
      </c>
      <c r="I32" s="51">
        <f>I31+G32</f>
        <v>-157916</v>
      </c>
      <c r="J32" s="51">
        <v>-5102987</v>
      </c>
      <c r="K32" s="101" t="s">
        <v>143</v>
      </c>
      <c r="L32" s="51"/>
    </row>
    <row r="33" spans="5:12" x14ac:dyDescent="0.25">
      <c r="E33" s="12"/>
      <c r="F33" s="102"/>
      <c r="I33" s="51"/>
      <c r="J33" s="51">
        <v>5002786</v>
      </c>
      <c r="K33" s="101"/>
      <c r="L33" s="51"/>
    </row>
    <row r="34" spans="5:12" x14ac:dyDescent="0.25">
      <c r="E34" s="48">
        <v>39429</v>
      </c>
      <c r="F34" s="51">
        <v>3000000</v>
      </c>
      <c r="G34" s="50">
        <v>-3341024</v>
      </c>
      <c r="H34" s="51">
        <v>-168256</v>
      </c>
      <c r="I34" s="51"/>
      <c r="J34" s="51">
        <f>SUM(J28:J32)</f>
        <v>-1112267</v>
      </c>
      <c r="K34" s="79"/>
      <c r="L34" s="51">
        <f>F34+H34</f>
        <v>2831744</v>
      </c>
    </row>
    <row r="35" spans="5:12" x14ac:dyDescent="0.25">
      <c r="F35" s="51">
        <v>-168256</v>
      </c>
      <c r="G35" s="50">
        <v>3341024</v>
      </c>
      <c r="H35" s="98">
        <f>SUM(H28:H34)</f>
        <v>2831744</v>
      </c>
      <c r="I35" s="50">
        <f>I32+H35</f>
        <v>2673828</v>
      </c>
      <c r="J35" s="51"/>
    </row>
    <row r="36" spans="5:12" x14ac:dyDescent="0.25">
      <c r="F36" s="87">
        <f>SUM(F34:F35)</f>
        <v>2831744</v>
      </c>
    </row>
    <row r="37" spans="5:12" x14ac:dyDescent="0.25">
      <c r="F37" s="50" t="s">
        <v>149</v>
      </c>
      <c r="G37" s="50">
        <v>-2397013</v>
      </c>
      <c r="K37" s="50" t="s">
        <v>143</v>
      </c>
    </row>
    <row r="38" spans="5:12" x14ac:dyDescent="0.25">
      <c r="L38" s="50" t="s">
        <v>152</v>
      </c>
    </row>
    <row r="39" spans="5:12" x14ac:dyDescent="0.25">
      <c r="L39" s="50" t="s">
        <v>78</v>
      </c>
    </row>
    <row r="40" spans="5:12" x14ac:dyDescent="0.25">
      <c r="E40" s="48" t="s">
        <v>157</v>
      </c>
      <c r="F40" s="50">
        <v>1090900</v>
      </c>
      <c r="G40" s="50">
        <f>1309746-1090900</f>
        <v>218846</v>
      </c>
      <c r="L40" s="50">
        <v>168256</v>
      </c>
    </row>
    <row r="41" spans="5:12" x14ac:dyDescent="0.25">
      <c r="E41" s="48" t="s">
        <v>156</v>
      </c>
      <c r="F41" s="50">
        <v>2250124</v>
      </c>
      <c r="L41" s="50">
        <v>3341024</v>
      </c>
    </row>
    <row r="42" spans="5:12" x14ac:dyDescent="0.25">
      <c r="E42" s="50">
        <v>3341024</v>
      </c>
      <c r="L42" s="98">
        <f>SUM(L40:L41)</f>
        <v>3509280</v>
      </c>
    </row>
    <row r="43" spans="5:12" x14ac:dyDescent="0.25">
      <c r="E43" s="48" t="s">
        <v>159</v>
      </c>
      <c r="F43" s="50">
        <v>1593707</v>
      </c>
    </row>
    <row r="44" spans="5:12" x14ac:dyDescent="0.25">
      <c r="F44" s="50">
        <f>SUM(F40:F43)</f>
        <v>4934731</v>
      </c>
      <c r="G44" s="50">
        <f>2250154-1169982</f>
        <v>1080172</v>
      </c>
      <c r="J44" s="50">
        <v>3990720</v>
      </c>
      <c r="K44" s="50" t="s">
        <v>146</v>
      </c>
    </row>
    <row r="45" spans="5:12" x14ac:dyDescent="0.25">
      <c r="J45" s="50">
        <v>-1593706</v>
      </c>
      <c r="K45" s="50" t="s">
        <v>147</v>
      </c>
    </row>
    <row r="46" spans="5:12" x14ac:dyDescent="0.25">
      <c r="J46" s="98">
        <f>SUM(J44:J45)</f>
        <v>2397014</v>
      </c>
      <c r="K46" s="50" t="s">
        <v>148</v>
      </c>
    </row>
  </sheetData>
  <mergeCells count="1">
    <mergeCell ref="G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3"/>
  <sheetViews>
    <sheetView workbookViewId="0">
      <selection sqref="A1:I1"/>
    </sheetView>
  </sheetViews>
  <sheetFormatPr defaultRowHeight="15" x14ac:dyDescent="0.25"/>
  <cols>
    <col min="1" max="1" width="12.85546875" bestFit="1" customWidth="1"/>
    <col min="2" max="2" width="16.42578125" style="50" customWidth="1"/>
    <col min="3" max="3" width="11" bestFit="1" customWidth="1"/>
    <col min="4" max="4" width="13.85546875" bestFit="1" customWidth="1"/>
    <col min="5" max="5" width="16.42578125" customWidth="1"/>
    <col min="6" max="6" width="13.85546875" bestFit="1" customWidth="1"/>
    <col min="7" max="7" width="2.28515625" customWidth="1"/>
    <col min="8" max="8" width="12.85546875" customWidth="1"/>
    <col min="9" max="9" width="14.28515625" bestFit="1" customWidth="1"/>
    <col min="10" max="10" width="13.85546875" bestFit="1" customWidth="1"/>
    <col min="11" max="11" width="14.28515625" bestFit="1" customWidth="1"/>
    <col min="12" max="12" width="13.85546875" bestFit="1" customWidth="1"/>
    <col min="14" max="14" width="16.5703125" bestFit="1" customWidth="1"/>
    <col min="16" max="16" width="10.7109375" bestFit="1" customWidth="1"/>
    <col min="17" max="17" width="13.140625" bestFit="1" customWidth="1"/>
    <col min="18" max="19" width="11.7109375" bestFit="1" customWidth="1"/>
    <col min="20" max="20" width="12.42578125" bestFit="1" customWidth="1"/>
    <col min="21" max="21" width="15.42578125" bestFit="1" customWidth="1"/>
    <col min="22" max="22" width="9.85546875" bestFit="1" customWidth="1"/>
  </cols>
  <sheetData>
    <row r="1" spans="1:22" ht="15.75" x14ac:dyDescent="0.25">
      <c r="A1" s="178" t="s">
        <v>62</v>
      </c>
      <c r="B1" s="178"/>
      <c r="C1" s="178"/>
      <c r="D1" s="178"/>
      <c r="E1" s="178"/>
      <c r="F1" s="178"/>
      <c r="G1" s="178"/>
      <c r="H1" s="178"/>
      <c r="I1" s="178"/>
      <c r="P1" s="52"/>
      <c r="R1" s="50"/>
      <c r="S1" s="50"/>
      <c r="T1" s="50"/>
    </row>
    <row r="2" spans="1:22" ht="15.75" x14ac:dyDescent="0.25">
      <c r="A2" s="58" t="s">
        <v>64</v>
      </c>
      <c r="B2" s="59"/>
      <c r="C2" s="58"/>
      <c r="D2" s="58"/>
      <c r="E2" s="58"/>
      <c r="F2" s="58"/>
      <c r="G2" s="58"/>
      <c r="H2" s="58"/>
      <c r="I2" s="58"/>
      <c r="R2" s="70"/>
      <c r="S2" s="70"/>
      <c r="T2" s="50"/>
    </row>
    <row r="3" spans="1:22" ht="15.75" x14ac:dyDescent="0.25">
      <c r="A3" s="58" t="s">
        <v>63</v>
      </c>
      <c r="B3" s="59">
        <v>12500000</v>
      </c>
      <c r="C3" s="58"/>
      <c r="D3" s="59"/>
      <c r="E3" s="58"/>
      <c r="F3" s="62"/>
      <c r="G3" s="58"/>
      <c r="H3" s="58"/>
      <c r="I3" s="58"/>
      <c r="R3" s="50"/>
      <c r="S3" s="50"/>
      <c r="T3" s="50"/>
    </row>
    <row r="4" spans="1:22" ht="15.75" x14ac:dyDescent="0.25">
      <c r="A4" s="58"/>
      <c r="B4" s="59"/>
      <c r="C4" s="58"/>
      <c r="D4" s="59"/>
      <c r="E4" s="58"/>
      <c r="F4" s="62"/>
      <c r="G4" s="58"/>
      <c r="H4" s="58"/>
      <c r="I4" s="58"/>
      <c r="P4" s="48"/>
      <c r="Q4" s="48"/>
      <c r="R4" s="50"/>
      <c r="S4" s="50"/>
      <c r="T4" s="50"/>
      <c r="U4" s="50"/>
      <c r="V4" s="50"/>
    </row>
    <row r="5" spans="1:22" ht="15.75" x14ac:dyDescent="0.25">
      <c r="A5" s="60" t="s">
        <v>70</v>
      </c>
      <c r="B5" s="59" t="s">
        <v>96</v>
      </c>
      <c r="C5" s="58" t="s">
        <v>101</v>
      </c>
      <c r="D5" s="59">
        <v>1500000</v>
      </c>
      <c r="E5" s="58" t="s">
        <v>57</v>
      </c>
      <c r="F5" s="62" t="s">
        <v>97</v>
      </c>
      <c r="G5" s="58"/>
      <c r="H5" s="61"/>
      <c r="I5" s="61"/>
      <c r="Q5" s="48"/>
      <c r="R5" s="50"/>
      <c r="S5" s="50"/>
      <c r="T5" s="50"/>
    </row>
    <row r="6" spans="1:22" ht="15.75" x14ac:dyDescent="0.25">
      <c r="A6" s="62">
        <v>38708</v>
      </c>
      <c r="B6" s="59"/>
      <c r="C6" s="58"/>
      <c r="D6" s="59">
        <v>-1169982</v>
      </c>
      <c r="E6" s="59">
        <f>D6+D5</f>
        <v>330018</v>
      </c>
      <c r="F6" s="62"/>
      <c r="G6" s="58"/>
      <c r="H6" s="58"/>
      <c r="I6" s="62"/>
      <c r="P6" s="48"/>
      <c r="Q6" s="48"/>
      <c r="R6" s="50"/>
      <c r="S6" s="50"/>
      <c r="T6" s="50"/>
    </row>
    <row r="7" spans="1:22" ht="15.75" x14ac:dyDescent="0.25">
      <c r="A7" s="62">
        <v>39059</v>
      </c>
      <c r="B7" s="59"/>
      <c r="C7" s="58"/>
      <c r="D7" s="59">
        <v>3000000</v>
      </c>
      <c r="E7" s="59">
        <f>E6+D7</f>
        <v>3330018</v>
      </c>
      <c r="F7" s="62"/>
      <c r="G7" s="58"/>
      <c r="H7" s="58"/>
      <c r="I7" s="58"/>
      <c r="Q7" s="48"/>
      <c r="R7" s="50"/>
      <c r="S7" s="50"/>
      <c r="T7" s="50"/>
    </row>
    <row r="8" spans="1:22" ht="15.75" x14ac:dyDescent="0.25">
      <c r="A8" s="58"/>
      <c r="B8" s="63"/>
      <c r="C8" s="58"/>
      <c r="D8" s="59"/>
      <c r="E8" s="59">
        <f t="shared" ref="E8:E16" si="0">E7+D8</f>
        <v>3330018</v>
      </c>
      <c r="F8" s="62"/>
      <c r="G8" s="58"/>
      <c r="H8" s="62"/>
      <c r="I8" s="58"/>
      <c r="P8" s="48"/>
      <c r="Q8" s="48"/>
      <c r="R8" s="50"/>
      <c r="S8" s="50"/>
      <c r="T8" s="50"/>
    </row>
    <row r="9" spans="1:22" ht="15.75" x14ac:dyDescent="0.25">
      <c r="A9" s="62"/>
      <c r="C9" s="73" t="s">
        <v>99</v>
      </c>
      <c r="D9" s="59">
        <v>-1090901</v>
      </c>
      <c r="E9" s="59">
        <f t="shared" si="0"/>
        <v>2239117</v>
      </c>
      <c r="F9" s="62">
        <v>39263</v>
      </c>
      <c r="H9" s="180">
        <f>D9+D10</f>
        <v>-1158977</v>
      </c>
      <c r="I9" s="182">
        <v>2397013</v>
      </c>
      <c r="P9" s="58" t="s">
        <v>61</v>
      </c>
      <c r="Q9" s="62">
        <v>39263</v>
      </c>
      <c r="R9" s="58"/>
      <c r="S9" s="62">
        <v>38960</v>
      </c>
      <c r="T9" s="50"/>
    </row>
    <row r="10" spans="1:22" ht="15.75" x14ac:dyDescent="0.25">
      <c r="A10" s="58"/>
      <c r="C10" s="73" t="s">
        <v>98</v>
      </c>
      <c r="D10" s="59">
        <v>-68076</v>
      </c>
      <c r="E10" s="59">
        <f t="shared" si="0"/>
        <v>2171041</v>
      </c>
      <c r="F10" s="62">
        <v>39447</v>
      </c>
      <c r="H10" s="181"/>
      <c r="I10" s="183"/>
      <c r="J10" s="59"/>
      <c r="L10" s="59"/>
      <c r="P10" s="58"/>
      <c r="Q10" s="58"/>
      <c r="R10" s="58"/>
      <c r="S10" s="58"/>
      <c r="T10" s="50"/>
    </row>
    <row r="11" spans="1:22" ht="15.75" x14ac:dyDescent="0.25">
      <c r="A11" s="58"/>
      <c r="C11" s="73" t="s">
        <v>100</v>
      </c>
      <c r="D11" s="59">
        <v>-944010</v>
      </c>
      <c r="E11" s="59">
        <f t="shared" si="0"/>
        <v>1227031</v>
      </c>
      <c r="H11" s="180">
        <f>D11+D12</f>
        <v>-1238036</v>
      </c>
      <c r="I11" s="183"/>
      <c r="L11" s="59"/>
      <c r="P11" s="58"/>
      <c r="Q11" s="58"/>
      <c r="R11" s="58"/>
      <c r="S11" s="62"/>
      <c r="T11" s="50"/>
    </row>
    <row r="12" spans="1:22" ht="15.75" x14ac:dyDescent="0.25">
      <c r="A12" s="58"/>
      <c r="C12" s="73" t="s">
        <v>100</v>
      </c>
      <c r="D12" s="59">
        <v>-294026</v>
      </c>
      <c r="E12" s="59">
        <f t="shared" si="0"/>
        <v>933005</v>
      </c>
      <c r="F12" s="62">
        <v>39813</v>
      </c>
      <c r="H12" s="181"/>
      <c r="I12" s="184"/>
      <c r="K12" s="179"/>
      <c r="L12" s="179"/>
      <c r="M12" s="179"/>
      <c r="N12" s="179"/>
      <c r="P12" s="58"/>
      <c r="Q12" s="58"/>
      <c r="R12" s="58"/>
      <c r="S12" s="58"/>
      <c r="T12" s="50"/>
    </row>
    <row r="13" spans="1:22" ht="15.75" x14ac:dyDescent="0.25">
      <c r="A13" s="62"/>
      <c r="B13" s="67"/>
      <c r="C13" s="58">
        <v>2007</v>
      </c>
      <c r="D13" s="59">
        <v>3000000</v>
      </c>
      <c r="E13" s="59">
        <f t="shared" si="0"/>
        <v>3933005</v>
      </c>
      <c r="F13" s="62"/>
      <c r="H13" s="74">
        <v>-1169982</v>
      </c>
      <c r="I13" s="58"/>
      <c r="L13" s="59"/>
      <c r="P13" s="58"/>
      <c r="Q13" s="58"/>
      <c r="R13" s="58"/>
      <c r="S13" s="58"/>
      <c r="T13" s="50"/>
    </row>
    <row r="14" spans="1:22" ht="15.75" x14ac:dyDescent="0.25">
      <c r="A14" s="58"/>
      <c r="B14" s="67"/>
      <c r="C14" s="58">
        <v>2007</v>
      </c>
      <c r="D14" s="59">
        <v>-168256</v>
      </c>
      <c r="E14" s="59">
        <f t="shared" si="0"/>
        <v>3764749</v>
      </c>
      <c r="F14" s="62"/>
      <c r="I14" s="58"/>
      <c r="L14" s="59"/>
      <c r="P14" s="58"/>
      <c r="Q14" s="58"/>
      <c r="R14" s="58"/>
      <c r="S14" s="58"/>
      <c r="T14" s="50"/>
    </row>
    <row r="15" spans="1:22" ht="15.75" x14ac:dyDescent="0.25">
      <c r="A15" s="58"/>
      <c r="B15" s="67"/>
      <c r="C15" s="58"/>
      <c r="D15" s="59">
        <v>-617736</v>
      </c>
      <c r="E15" s="59">
        <f t="shared" si="0"/>
        <v>3147013</v>
      </c>
      <c r="F15" s="62"/>
      <c r="I15" s="58"/>
      <c r="L15" s="59"/>
      <c r="P15" s="58"/>
      <c r="Q15" s="58"/>
      <c r="R15" s="58"/>
      <c r="S15" s="58"/>
      <c r="T15" s="50"/>
    </row>
    <row r="16" spans="1:22" ht="15.75" x14ac:dyDescent="0.25">
      <c r="A16" s="58"/>
      <c r="B16" s="59"/>
      <c r="C16" s="58"/>
      <c r="D16" s="59"/>
      <c r="E16" s="59">
        <f t="shared" si="0"/>
        <v>3147013</v>
      </c>
      <c r="F16" s="62"/>
      <c r="I16" s="58"/>
      <c r="L16" s="65"/>
      <c r="M16" s="68"/>
      <c r="N16" s="59"/>
      <c r="P16" s="58"/>
      <c r="Q16" s="62">
        <v>39447</v>
      </c>
      <c r="R16" s="58"/>
      <c r="S16" s="62">
        <v>39608</v>
      </c>
      <c r="T16" s="50"/>
    </row>
    <row r="17" spans="1:20" ht="15.75" x14ac:dyDescent="0.25">
      <c r="A17" s="58"/>
      <c r="B17" s="63"/>
      <c r="C17" s="58"/>
      <c r="D17" s="59"/>
      <c r="E17" s="59"/>
      <c r="F17" s="62"/>
      <c r="I17" s="58"/>
      <c r="L17" s="71"/>
      <c r="N17" s="59"/>
      <c r="P17" s="58"/>
      <c r="Q17" s="58"/>
      <c r="R17" s="58"/>
      <c r="S17" s="58"/>
      <c r="T17" s="50"/>
    </row>
    <row r="18" spans="1:20" ht="15.75" x14ac:dyDescent="0.25">
      <c r="A18" s="58"/>
      <c r="C18" s="58"/>
      <c r="D18" s="59"/>
      <c r="E18" s="59"/>
      <c r="F18" s="62"/>
      <c r="I18" s="58"/>
      <c r="L18" s="67"/>
      <c r="N18" s="59"/>
      <c r="P18" s="58"/>
      <c r="Q18" s="62">
        <v>39602</v>
      </c>
      <c r="R18" s="58"/>
      <c r="S18" s="58"/>
      <c r="T18" s="50"/>
    </row>
    <row r="19" spans="1:20" ht="15.75" x14ac:dyDescent="0.25">
      <c r="A19" s="58"/>
      <c r="B19" s="59"/>
      <c r="C19" s="58"/>
      <c r="D19" s="59"/>
      <c r="E19" s="59"/>
      <c r="F19" s="62"/>
      <c r="I19" s="58"/>
      <c r="L19" s="59"/>
      <c r="N19" s="59"/>
      <c r="P19" s="62">
        <v>39448</v>
      </c>
      <c r="Q19" s="59">
        <v>3990720</v>
      </c>
      <c r="R19" s="58"/>
      <c r="S19" s="58"/>
      <c r="T19" s="50"/>
    </row>
    <row r="20" spans="1:20" ht="15.75" x14ac:dyDescent="0.25">
      <c r="A20" s="58"/>
      <c r="B20" s="59"/>
      <c r="C20" s="58"/>
      <c r="D20" s="59"/>
      <c r="E20" s="59"/>
      <c r="F20" s="62"/>
      <c r="I20" s="58"/>
      <c r="L20" s="59"/>
      <c r="N20" s="59"/>
      <c r="P20" s="62">
        <v>39602</v>
      </c>
      <c r="Q20" s="59">
        <v>2397013</v>
      </c>
      <c r="R20" s="58"/>
      <c r="S20" s="58"/>
      <c r="T20" s="50"/>
    </row>
    <row r="21" spans="1:20" ht="15.75" x14ac:dyDescent="0.25">
      <c r="A21" s="58"/>
      <c r="B21" s="59"/>
      <c r="C21" s="58"/>
      <c r="D21" s="59"/>
      <c r="E21" s="59"/>
      <c r="F21" s="62"/>
      <c r="I21" s="58"/>
      <c r="L21" s="59"/>
      <c r="N21" s="59"/>
      <c r="P21" s="58"/>
      <c r="Q21" s="59">
        <f>5102987-2397013</f>
        <v>2705974</v>
      </c>
      <c r="R21" s="58"/>
      <c r="S21" s="58"/>
      <c r="T21" s="50"/>
    </row>
    <row r="22" spans="1:20" ht="15.75" x14ac:dyDescent="0.25">
      <c r="A22" s="58"/>
      <c r="B22" s="59"/>
      <c r="C22" s="58"/>
      <c r="D22" s="72"/>
      <c r="E22" s="59"/>
      <c r="F22" s="62"/>
      <c r="G22" s="58"/>
      <c r="H22" s="58"/>
      <c r="I22" s="58"/>
      <c r="L22" s="59"/>
      <c r="N22" s="59"/>
      <c r="R22" s="50"/>
      <c r="S22" s="50"/>
      <c r="T22" s="50"/>
    </row>
    <row r="23" spans="1:20" ht="15.75" x14ac:dyDescent="0.25">
      <c r="A23" s="58"/>
      <c r="B23" s="59"/>
      <c r="C23" s="58"/>
      <c r="D23" s="59"/>
      <c r="E23" s="59"/>
      <c r="F23" s="62"/>
      <c r="G23" s="58"/>
      <c r="H23" s="58"/>
      <c r="I23" s="58"/>
      <c r="L23" s="59"/>
      <c r="N23" s="59"/>
      <c r="R23" s="50"/>
      <c r="S23" s="50"/>
      <c r="T23" s="50"/>
    </row>
    <row r="24" spans="1:20" ht="15.75" x14ac:dyDescent="0.25">
      <c r="A24" s="58"/>
      <c r="B24" s="59"/>
      <c r="C24" s="58"/>
      <c r="D24" s="59"/>
      <c r="E24" s="59"/>
      <c r="F24" s="62"/>
      <c r="G24" s="58"/>
      <c r="H24" s="58"/>
      <c r="I24" s="58"/>
      <c r="L24" s="59"/>
      <c r="N24" s="59"/>
      <c r="R24" s="50"/>
      <c r="S24" s="50"/>
      <c r="T24" s="50"/>
    </row>
    <row r="25" spans="1:20" ht="15.75" x14ac:dyDescent="0.25">
      <c r="A25" s="58"/>
      <c r="B25" s="59"/>
      <c r="C25" s="58"/>
      <c r="D25" s="59"/>
      <c r="E25" s="59"/>
      <c r="F25" s="62"/>
      <c r="G25" s="58"/>
      <c r="H25" s="58"/>
      <c r="I25" s="58"/>
      <c r="L25" s="59"/>
      <c r="N25" s="59"/>
      <c r="R25" s="50"/>
      <c r="S25" s="50"/>
      <c r="T25" s="50"/>
    </row>
    <row r="26" spans="1:20" ht="15.75" x14ac:dyDescent="0.25">
      <c r="A26" s="58"/>
      <c r="B26" s="59"/>
      <c r="C26" s="58"/>
      <c r="D26" s="59"/>
      <c r="E26" s="59"/>
      <c r="F26" s="62"/>
      <c r="G26" s="58"/>
      <c r="H26" s="58"/>
      <c r="I26" s="58"/>
      <c r="L26" s="59"/>
      <c r="N26" s="59"/>
      <c r="R26" s="50"/>
      <c r="S26" s="50"/>
      <c r="T26" s="50"/>
    </row>
    <row r="27" spans="1:20" ht="15.75" x14ac:dyDescent="0.25">
      <c r="A27" s="58"/>
      <c r="B27" s="59"/>
      <c r="C27" s="58"/>
      <c r="D27" s="59"/>
      <c r="E27" s="59"/>
      <c r="F27" s="62"/>
      <c r="G27" s="58"/>
      <c r="H27" s="58"/>
      <c r="I27" s="58"/>
      <c r="L27" s="59"/>
      <c r="N27" s="59"/>
      <c r="R27" s="50"/>
      <c r="S27" s="50"/>
      <c r="T27" s="50"/>
    </row>
    <row r="28" spans="1:20" ht="15.75" x14ac:dyDescent="0.25">
      <c r="A28" s="58"/>
      <c r="B28" s="59"/>
      <c r="C28" s="58"/>
      <c r="D28" s="59"/>
      <c r="E28" s="59"/>
      <c r="F28" s="62"/>
      <c r="G28" s="58"/>
      <c r="H28" s="58"/>
      <c r="I28" s="58"/>
      <c r="L28" s="59"/>
      <c r="N28" s="59"/>
      <c r="R28" s="50"/>
      <c r="S28" s="50"/>
      <c r="T28" s="50"/>
    </row>
    <row r="29" spans="1:20" ht="15.75" x14ac:dyDescent="0.25">
      <c r="A29" s="58"/>
      <c r="B29" s="59"/>
      <c r="C29" s="58"/>
      <c r="D29" s="59"/>
      <c r="E29" s="59"/>
      <c r="F29" s="62"/>
      <c r="G29" s="58"/>
      <c r="H29" s="58"/>
      <c r="I29" s="58"/>
      <c r="L29" s="59"/>
      <c r="N29" s="59"/>
      <c r="R29" s="50"/>
      <c r="S29" s="50"/>
      <c r="T29" s="50"/>
    </row>
    <row r="30" spans="1:20" ht="15.75" x14ac:dyDescent="0.25">
      <c r="A30" s="58"/>
      <c r="B30" s="59"/>
      <c r="C30" s="58"/>
      <c r="D30" s="59">
        <v>-764748</v>
      </c>
      <c r="E30" s="59"/>
      <c r="F30" s="62"/>
      <c r="G30" s="58"/>
      <c r="H30" s="58"/>
      <c r="I30" s="58"/>
      <c r="L30" s="59"/>
      <c r="N30" s="59"/>
      <c r="R30" s="50"/>
      <c r="S30" s="50"/>
      <c r="T30" s="50"/>
    </row>
    <row r="31" spans="1:20" ht="15.75" x14ac:dyDescent="0.25">
      <c r="A31" s="58"/>
      <c r="B31" s="59">
        <v>11005.8</v>
      </c>
      <c r="C31" s="58"/>
      <c r="D31" s="59"/>
      <c r="E31" s="59"/>
      <c r="F31" s="62"/>
      <c r="G31" s="58"/>
      <c r="H31" s="58"/>
      <c r="I31" s="58"/>
      <c r="L31" s="59"/>
      <c r="N31" s="59"/>
      <c r="R31" s="50"/>
      <c r="S31" s="50"/>
      <c r="T31" s="50"/>
    </row>
    <row r="32" spans="1:20" ht="15.75" x14ac:dyDescent="0.25">
      <c r="A32" s="59">
        <v>1169982</v>
      </c>
      <c r="B32" s="58" t="s">
        <v>91</v>
      </c>
      <c r="C32" s="58" t="s">
        <v>79</v>
      </c>
      <c r="D32" s="59">
        <f>-4500000-1169982</f>
        <v>-5669982</v>
      </c>
      <c r="E32" t="s">
        <v>60</v>
      </c>
      <c r="F32" s="62"/>
      <c r="G32" s="58"/>
      <c r="H32" s="58"/>
      <c r="I32" s="58"/>
      <c r="L32" s="59"/>
      <c r="N32" s="59"/>
      <c r="R32" s="50"/>
      <c r="S32" s="50"/>
      <c r="T32" s="50"/>
    </row>
    <row r="33" spans="1:14" ht="15.75" x14ac:dyDescent="0.25">
      <c r="A33" s="58"/>
      <c r="B33" s="59"/>
      <c r="C33" s="58"/>
      <c r="D33" s="59"/>
      <c r="E33" s="59"/>
      <c r="F33" s="62"/>
      <c r="G33" s="58"/>
      <c r="H33" s="58"/>
      <c r="I33" s="58"/>
      <c r="L33" s="59"/>
      <c r="N33" s="59"/>
    </row>
    <row r="34" spans="1:14" ht="15.75" x14ac:dyDescent="0.25">
      <c r="A34" s="62">
        <v>38708</v>
      </c>
      <c r="B34" s="59">
        <v>1500000</v>
      </c>
      <c r="C34" s="58"/>
      <c r="D34" s="59"/>
      <c r="E34" s="59"/>
      <c r="F34" s="62"/>
      <c r="G34" s="58"/>
      <c r="H34" s="58"/>
      <c r="I34" s="58"/>
      <c r="L34" s="59"/>
      <c r="N34" s="59"/>
    </row>
    <row r="35" spans="1:14" ht="15.75" x14ac:dyDescent="0.25">
      <c r="A35" s="62">
        <v>39059</v>
      </c>
      <c r="B35" s="59">
        <v>3000000</v>
      </c>
      <c r="C35" s="58"/>
      <c r="D35" s="59"/>
      <c r="E35" s="59"/>
      <c r="F35" s="62"/>
      <c r="G35" s="58"/>
      <c r="H35" s="58"/>
      <c r="I35" s="58"/>
      <c r="L35" s="59"/>
      <c r="N35" s="59"/>
    </row>
    <row r="36" spans="1:14" ht="15.75" x14ac:dyDescent="0.25">
      <c r="A36" s="58"/>
      <c r="B36" s="63">
        <v>4500000</v>
      </c>
      <c r="C36" s="58"/>
      <c r="D36" s="59"/>
      <c r="E36" s="59"/>
      <c r="F36" s="62"/>
      <c r="G36" s="58"/>
      <c r="H36" s="58"/>
      <c r="I36" s="58"/>
      <c r="L36" s="59"/>
      <c r="N36" s="59"/>
    </row>
    <row r="37" spans="1:14" ht="15.75" x14ac:dyDescent="0.25">
      <c r="A37" s="58"/>
      <c r="B37" s="59">
        <v>-1090900</v>
      </c>
      <c r="C37" s="58" t="s">
        <v>94</v>
      </c>
      <c r="D37" s="59" t="s">
        <v>89</v>
      </c>
      <c r="E37" s="59"/>
      <c r="F37" s="62"/>
      <c r="G37" s="58"/>
      <c r="H37" s="58"/>
      <c r="I37" s="58"/>
      <c r="L37" s="59"/>
      <c r="N37" s="59"/>
    </row>
    <row r="38" spans="1:14" ht="15.75" x14ac:dyDescent="0.25">
      <c r="A38" s="58"/>
      <c r="B38" s="63">
        <f>SUM(B36:B37)</f>
        <v>3409100</v>
      </c>
      <c r="C38" s="58"/>
      <c r="D38" s="59">
        <v>39082</v>
      </c>
      <c r="E38" s="59"/>
      <c r="F38" s="62"/>
      <c r="G38" s="58"/>
      <c r="H38" s="58"/>
      <c r="I38" s="58"/>
      <c r="L38" s="59"/>
      <c r="N38" s="59"/>
    </row>
    <row r="39" spans="1:14" ht="15.75" x14ac:dyDescent="0.25">
      <c r="A39" s="58"/>
      <c r="B39" s="59">
        <v>-68076</v>
      </c>
      <c r="C39" s="58" t="s">
        <v>94</v>
      </c>
      <c r="D39" s="59" t="s">
        <v>90</v>
      </c>
      <c r="E39" s="59"/>
      <c r="F39" s="62" t="s">
        <v>92</v>
      </c>
      <c r="G39" s="58"/>
      <c r="H39" s="58"/>
      <c r="I39" s="59"/>
      <c r="L39" s="59"/>
      <c r="N39" s="59"/>
    </row>
    <row r="40" spans="1:14" ht="15.75" x14ac:dyDescent="0.25">
      <c r="A40" s="58"/>
      <c r="B40" s="63">
        <f>SUM(B38:B39)</f>
        <v>3341024</v>
      </c>
      <c r="C40" s="58"/>
      <c r="D40" s="59">
        <v>39447</v>
      </c>
      <c r="E40" s="59"/>
      <c r="F40" s="59">
        <f>B37+B39</f>
        <v>-1158976</v>
      </c>
      <c r="G40" t="s">
        <v>94</v>
      </c>
      <c r="L40" s="59"/>
      <c r="N40" s="59"/>
    </row>
    <row r="41" spans="1:14" ht="15.75" x14ac:dyDescent="0.25">
      <c r="A41" s="58"/>
      <c r="B41" s="67">
        <v>-944011</v>
      </c>
      <c r="C41" s="58" t="s">
        <v>95</v>
      </c>
      <c r="D41" s="59" t="s">
        <v>93</v>
      </c>
      <c r="E41" s="59"/>
      <c r="F41" s="59"/>
      <c r="L41" s="59"/>
      <c r="N41" s="59"/>
    </row>
    <row r="42" spans="1:14" ht="15.75" x14ac:dyDescent="0.25">
      <c r="A42" s="58"/>
      <c r="B42" s="63">
        <f>SUM(B40:B41)</f>
        <v>2397013</v>
      </c>
      <c r="C42" s="58"/>
      <c r="D42" s="59">
        <v>39629</v>
      </c>
      <c r="E42" s="59"/>
      <c r="F42" s="59"/>
      <c r="L42" s="59"/>
      <c r="N42" s="59"/>
    </row>
    <row r="43" spans="1:14" ht="15.75" x14ac:dyDescent="0.25">
      <c r="A43" s="58"/>
      <c r="B43" s="67">
        <v>-294026</v>
      </c>
      <c r="C43" s="58"/>
      <c r="D43" s="59" t="s">
        <v>93</v>
      </c>
      <c r="E43" s="59"/>
      <c r="F43" s="59"/>
      <c r="L43" s="59"/>
      <c r="N43" s="59"/>
    </row>
    <row r="44" spans="1:14" ht="15.75" x14ac:dyDescent="0.25">
      <c r="A44" s="58"/>
      <c r="B44" s="63">
        <f>SUM(B42:B43)</f>
        <v>2102987</v>
      </c>
      <c r="C44" s="58"/>
      <c r="D44" s="59"/>
      <c r="E44" s="59"/>
      <c r="F44" s="59">
        <v>1169982</v>
      </c>
      <c r="G44" s="58" t="s">
        <v>91</v>
      </c>
      <c r="H44" s="58" t="s">
        <v>79</v>
      </c>
      <c r="I44" s="59">
        <f>-4500000-1169982</f>
        <v>-5669982</v>
      </c>
      <c r="L44" s="59"/>
      <c r="N44" s="59"/>
    </row>
    <row r="45" spans="1:14" ht="15.75" x14ac:dyDescent="0.25">
      <c r="A45" s="58"/>
      <c r="B45" s="67">
        <v>-1169982</v>
      </c>
      <c r="C45" s="58"/>
      <c r="D45" s="59"/>
      <c r="E45" s="59"/>
      <c r="F45" s="59"/>
      <c r="G45" s="58"/>
      <c r="H45" s="58"/>
      <c r="I45" s="59"/>
      <c r="L45" s="59"/>
      <c r="N45" s="59"/>
    </row>
    <row r="46" spans="1:14" ht="15.75" x14ac:dyDescent="0.25">
      <c r="A46" s="62">
        <v>39429</v>
      </c>
      <c r="B46" s="67">
        <v>3000000</v>
      </c>
      <c r="C46" s="58"/>
      <c r="D46" s="59"/>
      <c r="E46" s="59"/>
      <c r="F46" s="59"/>
      <c r="G46" s="58"/>
      <c r="H46" s="58"/>
      <c r="I46" s="59">
        <f>1169982-68076</f>
        <v>1101906</v>
      </c>
      <c r="L46" s="59"/>
      <c r="N46" s="59"/>
    </row>
    <row r="47" spans="1:14" ht="15.75" x14ac:dyDescent="0.25">
      <c r="A47" s="62"/>
      <c r="B47" s="63">
        <f>SUM(B44:B46)</f>
        <v>3933005</v>
      </c>
      <c r="C47" s="58"/>
      <c r="D47" s="59"/>
      <c r="E47" s="59"/>
      <c r="F47" s="59"/>
      <c r="G47" s="58"/>
      <c r="H47" s="58"/>
      <c r="I47" s="59"/>
      <c r="L47" s="59"/>
      <c r="N47" s="59"/>
    </row>
    <row r="48" spans="1:14" ht="15.75" x14ac:dyDescent="0.25">
      <c r="A48" s="58"/>
      <c r="B48" s="67">
        <v>-168256</v>
      </c>
      <c r="C48" s="58"/>
      <c r="D48" s="59" t="s">
        <v>90</v>
      </c>
      <c r="E48" s="59"/>
      <c r="F48" s="59">
        <v>-2171042</v>
      </c>
      <c r="G48" s="58"/>
      <c r="H48" s="58"/>
      <c r="I48" s="59"/>
      <c r="L48" s="59"/>
      <c r="N48" s="59"/>
    </row>
    <row r="49" spans="1:14" ht="15.75" x14ac:dyDescent="0.25">
      <c r="A49" s="58"/>
      <c r="B49" s="63">
        <f>SUM(B47:B48)</f>
        <v>3764749</v>
      </c>
      <c r="C49" s="58"/>
      <c r="D49" s="59"/>
      <c r="E49" s="59"/>
      <c r="F49" s="59"/>
      <c r="G49" s="58"/>
      <c r="H49" s="58"/>
      <c r="I49" s="59"/>
      <c r="L49" s="59"/>
      <c r="N49" s="59"/>
    </row>
    <row r="50" spans="1:14" ht="15.75" x14ac:dyDescent="0.25">
      <c r="A50" s="58"/>
      <c r="B50" s="59">
        <v>-617736</v>
      </c>
      <c r="C50" s="58"/>
      <c r="D50" s="59"/>
      <c r="E50" s="59"/>
      <c r="F50" s="59"/>
      <c r="G50" s="58"/>
      <c r="H50" s="58"/>
      <c r="I50" s="59"/>
      <c r="N50" s="59"/>
    </row>
    <row r="51" spans="1:14" ht="15.75" x14ac:dyDescent="0.25">
      <c r="A51" s="58"/>
      <c r="B51" s="59">
        <f>SUM(B49:B50)</f>
        <v>3147013</v>
      </c>
      <c r="C51" s="58"/>
      <c r="D51" s="59"/>
      <c r="E51" s="59"/>
      <c r="F51" s="59"/>
      <c r="G51" s="58"/>
      <c r="H51" s="58"/>
      <c r="I51" s="58"/>
      <c r="N51" s="59"/>
    </row>
    <row r="52" spans="1:14" ht="15.75" x14ac:dyDescent="0.25">
      <c r="B52" s="50">
        <v>-1338238</v>
      </c>
      <c r="D52" s="59"/>
      <c r="E52" s="59"/>
      <c r="F52" s="59">
        <f>2102987-2397013</f>
        <v>-294026</v>
      </c>
      <c r="L52" s="59"/>
    </row>
    <row r="53" spans="1:14" ht="15.75" x14ac:dyDescent="0.25">
      <c r="B53" s="50">
        <f>SUM(B51:B52)</f>
        <v>1808775</v>
      </c>
      <c r="D53" s="59"/>
      <c r="E53" s="59"/>
      <c r="F53" s="59"/>
      <c r="J53" s="59"/>
      <c r="L53" s="59"/>
    </row>
    <row r="54" spans="1:14" ht="15.75" x14ac:dyDescent="0.25">
      <c r="D54" s="59"/>
      <c r="E54" s="59"/>
      <c r="F54" s="59"/>
      <c r="L54" s="50"/>
    </row>
    <row r="55" spans="1:14" ht="15.75" x14ac:dyDescent="0.25">
      <c r="D55" s="59"/>
      <c r="E55" s="59"/>
      <c r="F55" s="59"/>
    </row>
    <row r="56" spans="1:14" ht="15.75" x14ac:dyDescent="0.25">
      <c r="D56" s="59"/>
      <c r="E56" s="59"/>
      <c r="F56" s="59"/>
    </row>
    <row r="57" spans="1:14" ht="15.75" x14ac:dyDescent="0.25">
      <c r="D57" s="59"/>
      <c r="E57" s="59"/>
      <c r="F57" s="59"/>
    </row>
    <row r="58" spans="1:14" ht="15.75" x14ac:dyDescent="0.25">
      <c r="D58" s="59"/>
      <c r="E58" s="59"/>
      <c r="F58" s="59"/>
    </row>
    <row r="59" spans="1:14" ht="15.75" x14ac:dyDescent="0.25">
      <c r="D59" s="59"/>
      <c r="E59" s="59"/>
      <c r="F59" s="59"/>
    </row>
    <row r="60" spans="1:14" ht="15.75" x14ac:dyDescent="0.25">
      <c r="D60" s="59"/>
      <c r="E60" s="59"/>
      <c r="F60" s="59"/>
    </row>
    <row r="61" spans="1:14" ht="15.75" x14ac:dyDescent="0.25">
      <c r="D61" s="59"/>
      <c r="E61" s="59"/>
      <c r="F61" s="59"/>
    </row>
    <row r="62" spans="1:14" ht="15.75" x14ac:dyDescent="0.25">
      <c r="D62" s="59"/>
      <c r="E62" s="59"/>
      <c r="F62" s="59"/>
    </row>
    <row r="63" spans="1:14" ht="15.75" x14ac:dyDescent="0.25">
      <c r="D63" s="59"/>
      <c r="E63" s="59"/>
      <c r="F63" s="59"/>
    </row>
    <row r="64" spans="1:14" ht="15.75" x14ac:dyDescent="0.25">
      <c r="D64" s="59"/>
      <c r="E64" s="59"/>
      <c r="F64" s="59"/>
    </row>
    <row r="65" spans="4:6" ht="15.75" x14ac:dyDescent="0.25">
      <c r="D65" s="59"/>
      <c r="E65" s="59"/>
      <c r="F65" s="59"/>
    </row>
    <row r="66" spans="4:6" ht="15.75" x14ac:dyDescent="0.25">
      <c r="D66" s="59"/>
      <c r="E66" s="59"/>
      <c r="F66" s="59"/>
    </row>
    <row r="67" spans="4:6" ht="15.75" x14ac:dyDescent="0.25">
      <c r="D67" s="59"/>
      <c r="E67" s="59"/>
      <c r="F67" s="59"/>
    </row>
    <row r="68" spans="4:6" ht="15.75" x14ac:dyDescent="0.25">
      <c r="E68" s="59"/>
      <c r="F68" s="59"/>
    </row>
    <row r="69" spans="4:6" ht="15.75" x14ac:dyDescent="0.25">
      <c r="E69" s="59"/>
      <c r="F69" s="59"/>
    </row>
    <row r="70" spans="4:6" ht="15.75" x14ac:dyDescent="0.25">
      <c r="E70" s="59"/>
      <c r="F70" s="59"/>
    </row>
    <row r="71" spans="4:6" ht="15.75" x14ac:dyDescent="0.25">
      <c r="E71" s="59"/>
      <c r="F71" s="59"/>
    </row>
    <row r="72" spans="4:6" ht="15.75" x14ac:dyDescent="0.25">
      <c r="E72" s="59"/>
      <c r="F72" s="59"/>
    </row>
    <row r="73" spans="4:6" ht="15.75" x14ac:dyDescent="0.25">
      <c r="E73" s="59"/>
      <c r="F73" s="59"/>
    </row>
    <row r="74" spans="4:6" ht="15.75" x14ac:dyDescent="0.25">
      <c r="E74" s="59"/>
      <c r="F74" s="59"/>
    </row>
    <row r="75" spans="4:6" ht="15.75" x14ac:dyDescent="0.25">
      <c r="E75" s="59"/>
      <c r="F75" s="59"/>
    </row>
    <row r="76" spans="4:6" ht="15.75" x14ac:dyDescent="0.25">
      <c r="E76" s="59"/>
      <c r="F76" s="59"/>
    </row>
    <row r="77" spans="4:6" ht="15.75" x14ac:dyDescent="0.25">
      <c r="E77" s="59"/>
      <c r="F77" s="59"/>
    </row>
    <row r="78" spans="4:6" ht="15.75" x14ac:dyDescent="0.25">
      <c r="E78" s="59"/>
      <c r="F78" s="59"/>
    </row>
    <row r="79" spans="4:6" ht="15.75" x14ac:dyDescent="0.25">
      <c r="E79" s="59"/>
      <c r="F79" s="59"/>
    </row>
    <row r="80" spans="4:6" ht="15.75" x14ac:dyDescent="0.25">
      <c r="E80" s="59"/>
      <c r="F80" s="59"/>
    </row>
    <row r="81" spans="5:6" ht="15.75" x14ac:dyDescent="0.25">
      <c r="E81" s="59"/>
      <c r="F81" s="59"/>
    </row>
    <row r="82" spans="5:6" ht="15.75" x14ac:dyDescent="0.25">
      <c r="E82" s="59"/>
      <c r="F82" s="59"/>
    </row>
    <row r="83" spans="5:6" ht="15.75" x14ac:dyDescent="0.25">
      <c r="E83" s="59"/>
      <c r="F83" s="59"/>
    </row>
    <row r="84" spans="5:6" ht="15.75" x14ac:dyDescent="0.25">
      <c r="E84" s="59"/>
      <c r="F84" s="59"/>
    </row>
    <row r="85" spans="5:6" ht="15.75" x14ac:dyDescent="0.25">
      <c r="E85" s="59"/>
      <c r="F85" s="59"/>
    </row>
    <row r="86" spans="5:6" ht="15.75" x14ac:dyDescent="0.25">
      <c r="E86" s="59"/>
      <c r="F86" s="59"/>
    </row>
    <row r="87" spans="5:6" ht="15.75" x14ac:dyDescent="0.25">
      <c r="E87" s="59"/>
      <c r="F87" s="59"/>
    </row>
    <row r="88" spans="5:6" ht="15.75" x14ac:dyDescent="0.25">
      <c r="E88" s="59"/>
      <c r="F88" s="59"/>
    </row>
    <row r="89" spans="5:6" ht="15.75" x14ac:dyDescent="0.25">
      <c r="E89" s="59"/>
      <c r="F89" s="59"/>
    </row>
    <row r="90" spans="5:6" ht="15.75" x14ac:dyDescent="0.25">
      <c r="E90" s="59"/>
      <c r="F90" s="59"/>
    </row>
    <row r="91" spans="5:6" ht="15.75" x14ac:dyDescent="0.25">
      <c r="E91" s="59"/>
      <c r="F91" s="59"/>
    </row>
    <row r="92" spans="5:6" ht="15.75" x14ac:dyDescent="0.25">
      <c r="E92" s="59"/>
      <c r="F92" s="59"/>
    </row>
    <row r="93" spans="5:6" ht="15.75" x14ac:dyDescent="0.25">
      <c r="E93" s="59"/>
      <c r="F93" s="59"/>
    </row>
    <row r="94" spans="5:6" ht="15.75" x14ac:dyDescent="0.25">
      <c r="E94" s="59"/>
      <c r="F94" s="59"/>
    </row>
    <row r="95" spans="5:6" ht="15.75" x14ac:dyDescent="0.25">
      <c r="E95" s="59"/>
      <c r="F95" s="59"/>
    </row>
    <row r="96" spans="5:6" ht="15.75" x14ac:dyDescent="0.25">
      <c r="E96" s="59"/>
      <c r="F96" s="59"/>
    </row>
    <row r="97" spans="5:6" ht="15.75" x14ac:dyDescent="0.25">
      <c r="E97" s="59"/>
      <c r="F97" s="59"/>
    </row>
    <row r="98" spans="5:6" ht="15.75" x14ac:dyDescent="0.25">
      <c r="E98" s="59"/>
      <c r="F98" s="59"/>
    </row>
    <row r="99" spans="5:6" ht="15.75" x14ac:dyDescent="0.25">
      <c r="E99" s="59"/>
      <c r="F99" s="59"/>
    </row>
    <row r="100" spans="5:6" ht="15.75" x14ac:dyDescent="0.25">
      <c r="E100" s="59"/>
      <c r="F100" s="59"/>
    </row>
    <row r="101" spans="5:6" ht="15.75" x14ac:dyDescent="0.25">
      <c r="E101" s="59"/>
      <c r="F101" s="59"/>
    </row>
    <row r="102" spans="5:6" ht="15.75" x14ac:dyDescent="0.25">
      <c r="E102" s="59"/>
      <c r="F102" s="59"/>
    </row>
    <row r="103" spans="5:6" ht="15.75" x14ac:dyDescent="0.25">
      <c r="E103" s="59"/>
      <c r="F103" s="59"/>
    </row>
    <row r="104" spans="5:6" ht="15.75" x14ac:dyDescent="0.25">
      <c r="E104" s="59"/>
      <c r="F104" s="59"/>
    </row>
    <row r="105" spans="5:6" ht="15.75" x14ac:dyDescent="0.25">
      <c r="E105" s="59"/>
      <c r="F105" s="59"/>
    </row>
    <row r="106" spans="5:6" ht="15.75" x14ac:dyDescent="0.25">
      <c r="E106" s="59"/>
      <c r="F106" s="59"/>
    </row>
    <row r="107" spans="5:6" ht="15.75" x14ac:dyDescent="0.25">
      <c r="E107" s="59"/>
      <c r="F107" s="59"/>
    </row>
    <row r="108" spans="5:6" ht="15.75" x14ac:dyDescent="0.25">
      <c r="E108" s="59"/>
      <c r="F108" s="59"/>
    </row>
    <row r="109" spans="5:6" ht="15.75" x14ac:dyDescent="0.25">
      <c r="E109" s="59"/>
      <c r="F109" s="59"/>
    </row>
    <row r="110" spans="5:6" ht="15.75" x14ac:dyDescent="0.25">
      <c r="E110" s="59"/>
      <c r="F110" s="59"/>
    </row>
    <row r="111" spans="5:6" ht="15.75" x14ac:dyDescent="0.25">
      <c r="E111" s="59"/>
      <c r="F111" s="59"/>
    </row>
    <row r="112" spans="5:6" ht="15.75" x14ac:dyDescent="0.25">
      <c r="E112" s="59"/>
      <c r="F112" s="59"/>
    </row>
    <row r="113" spans="5:6" ht="15.75" x14ac:dyDescent="0.25">
      <c r="E113" s="59"/>
      <c r="F113" s="59"/>
    </row>
    <row r="114" spans="5:6" ht="15.75" x14ac:dyDescent="0.25">
      <c r="E114" s="59"/>
      <c r="F114" s="59"/>
    </row>
    <row r="115" spans="5:6" ht="15.75" x14ac:dyDescent="0.25">
      <c r="E115" s="59"/>
      <c r="F115" s="59"/>
    </row>
    <row r="116" spans="5:6" ht="15.75" x14ac:dyDescent="0.25">
      <c r="E116" s="59"/>
      <c r="F116" s="59"/>
    </row>
    <row r="117" spans="5:6" ht="15.75" x14ac:dyDescent="0.25">
      <c r="E117" s="59"/>
      <c r="F117" s="59"/>
    </row>
    <row r="118" spans="5:6" ht="15.75" x14ac:dyDescent="0.25">
      <c r="E118" s="59"/>
      <c r="F118" s="59"/>
    </row>
    <row r="119" spans="5:6" ht="15.75" x14ac:dyDescent="0.25">
      <c r="E119" s="59"/>
      <c r="F119" s="59"/>
    </row>
    <row r="120" spans="5:6" ht="15.75" x14ac:dyDescent="0.25">
      <c r="E120" s="59"/>
      <c r="F120" s="59"/>
    </row>
    <row r="121" spans="5:6" ht="15.75" x14ac:dyDescent="0.25">
      <c r="E121" s="59"/>
      <c r="F121" s="59"/>
    </row>
    <row r="122" spans="5:6" ht="15.75" x14ac:dyDescent="0.25">
      <c r="E122" s="59"/>
      <c r="F122" s="59"/>
    </row>
    <row r="123" spans="5:6" ht="15.75" x14ac:dyDescent="0.25">
      <c r="E123" s="59"/>
      <c r="F123" s="59"/>
    </row>
    <row r="124" spans="5:6" ht="15.75" x14ac:dyDescent="0.25">
      <c r="E124" s="59"/>
      <c r="F124" s="59"/>
    </row>
    <row r="125" spans="5:6" ht="15.75" x14ac:dyDescent="0.25">
      <c r="E125" s="59"/>
      <c r="F125" s="59"/>
    </row>
    <row r="126" spans="5:6" ht="15.75" x14ac:dyDescent="0.25">
      <c r="E126" s="59"/>
      <c r="F126" s="59"/>
    </row>
    <row r="127" spans="5:6" ht="15.75" x14ac:dyDescent="0.25">
      <c r="E127" s="59"/>
      <c r="F127" s="59"/>
    </row>
    <row r="128" spans="5:6" ht="15.75" x14ac:dyDescent="0.25">
      <c r="E128" s="59"/>
      <c r="F128" s="59"/>
    </row>
    <row r="129" spans="5:6" ht="15.75" x14ac:dyDescent="0.25">
      <c r="E129" s="59"/>
      <c r="F129" s="59"/>
    </row>
    <row r="130" spans="5:6" ht="15.75" x14ac:dyDescent="0.25">
      <c r="E130" s="59"/>
      <c r="F130" s="59"/>
    </row>
    <row r="131" spans="5:6" ht="15.75" x14ac:dyDescent="0.25">
      <c r="E131" s="59"/>
      <c r="F131" s="59"/>
    </row>
    <row r="132" spans="5:6" ht="15.75" x14ac:dyDescent="0.25">
      <c r="E132" s="59"/>
      <c r="F132" s="59"/>
    </row>
    <row r="133" spans="5:6" ht="15.75" x14ac:dyDescent="0.25">
      <c r="E133" s="59"/>
      <c r="F133" s="59"/>
    </row>
    <row r="134" spans="5:6" ht="15.75" x14ac:dyDescent="0.25">
      <c r="E134" s="59"/>
      <c r="F134" s="59"/>
    </row>
    <row r="135" spans="5:6" ht="15.75" x14ac:dyDescent="0.25">
      <c r="E135" s="59"/>
      <c r="F135" s="59"/>
    </row>
    <row r="136" spans="5:6" ht="15.75" x14ac:dyDescent="0.25">
      <c r="E136" s="59"/>
      <c r="F136" s="59"/>
    </row>
    <row r="137" spans="5:6" ht="15.75" x14ac:dyDescent="0.25">
      <c r="E137" s="59"/>
      <c r="F137" s="59"/>
    </row>
    <row r="138" spans="5:6" ht="15.75" x14ac:dyDescent="0.25">
      <c r="E138" s="59"/>
      <c r="F138" s="59"/>
    </row>
    <row r="139" spans="5:6" ht="15.75" x14ac:dyDescent="0.25">
      <c r="E139" s="59"/>
      <c r="F139" s="59"/>
    </row>
    <row r="140" spans="5:6" ht="15.75" x14ac:dyDescent="0.25">
      <c r="E140" s="59"/>
      <c r="F140" s="59"/>
    </row>
    <row r="141" spans="5:6" ht="15.75" x14ac:dyDescent="0.25">
      <c r="E141" s="59"/>
      <c r="F141" s="59"/>
    </row>
    <row r="142" spans="5:6" ht="15.75" x14ac:dyDescent="0.25">
      <c r="E142" s="59"/>
      <c r="F142" s="59"/>
    </row>
    <row r="143" spans="5:6" ht="15.75" x14ac:dyDescent="0.25">
      <c r="E143" s="59"/>
      <c r="F143" s="59"/>
    </row>
    <row r="144" spans="5:6" ht="15.75" x14ac:dyDescent="0.25">
      <c r="E144" s="59"/>
      <c r="F144" s="59"/>
    </row>
    <row r="145" spans="5:6" ht="15.75" x14ac:dyDescent="0.25">
      <c r="E145" s="59"/>
      <c r="F145" s="59"/>
    </row>
    <row r="146" spans="5:6" ht="15.75" x14ac:dyDescent="0.25">
      <c r="E146" s="59"/>
      <c r="F146" s="59"/>
    </row>
    <row r="147" spans="5:6" ht="15.75" x14ac:dyDescent="0.25">
      <c r="E147" s="59"/>
      <c r="F147" s="59"/>
    </row>
    <row r="148" spans="5:6" ht="15.75" x14ac:dyDescent="0.25">
      <c r="E148" s="59"/>
      <c r="F148" s="59"/>
    </row>
    <row r="149" spans="5:6" ht="15.75" x14ac:dyDescent="0.25">
      <c r="E149" s="59"/>
      <c r="F149" s="59"/>
    </row>
    <row r="150" spans="5:6" ht="15.75" x14ac:dyDescent="0.25">
      <c r="E150" s="59"/>
      <c r="F150" s="59"/>
    </row>
    <row r="151" spans="5:6" ht="15.75" x14ac:dyDescent="0.25">
      <c r="E151" s="59"/>
      <c r="F151" s="59"/>
    </row>
    <row r="152" spans="5:6" ht="15.75" x14ac:dyDescent="0.25">
      <c r="E152" s="59"/>
      <c r="F152" s="59"/>
    </row>
    <row r="153" spans="5:6" ht="15.75" x14ac:dyDescent="0.25">
      <c r="E153" s="59"/>
      <c r="F153" s="59"/>
    </row>
    <row r="154" spans="5:6" ht="15.75" x14ac:dyDescent="0.25">
      <c r="E154" s="59"/>
      <c r="F154" s="59"/>
    </row>
    <row r="155" spans="5:6" ht="15.75" x14ac:dyDescent="0.25">
      <c r="E155" s="59"/>
      <c r="F155" s="59"/>
    </row>
    <row r="156" spans="5:6" ht="15.75" x14ac:dyDescent="0.25">
      <c r="E156" s="59"/>
      <c r="F156" s="59"/>
    </row>
    <row r="157" spans="5:6" ht="15.75" x14ac:dyDescent="0.25">
      <c r="E157" s="59"/>
      <c r="F157" s="59"/>
    </row>
    <row r="158" spans="5:6" ht="15.75" x14ac:dyDescent="0.25">
      <c r="E158" s="59"/>
      <c r="F158" s="59"/>
    </row>
    <row r="159" spans="5:6" ht="15.75" x14ac:dyDescent="0.25">
      <c r="E159" s="59"/>
      <c r="F159" s="59"/>
    </row>
    <row r="160" spans="5:6" ht="15.75" x14ac:dyDescent="0.25">
      <c r="E160" s="59"/>
      <c r="F160" s="59"/>
    </row>
    <row r="161" spans="5:6" ht="15.75" x14ac:dyDescent="0.25">
      <c r="E161" s="59"/>
      <c r="F161" s="59"/>
    </row>
    <row r="162" spans="5:6" ht="15.75" x14ac:dyDescent="0.25">
      <c r="E162" s="59"/>
      <c r="F162" s="59"/>
    </row>
    <row r="163" spans="5:6" ht="15.75" x14ac:dyDescent="0.25">
      <c r="E163" s="59"/>
      <c r="F163" s="59"/>
    </row>
    <row r="164" spans="5:6" ht="15.75" x14ac:dyDescent="0.25">
      <c r="E164" s="59"/>
      <c r="F164" s="59"/>
    </row>
    <row r="165" spans="5:6" ht="15.75" x14ac:dyDescent="0.25">
      <c r="E165" s="59"/>
      <c r="F165" s="59"/>
    </row>
    <row r="166" spans="5:6" ht="15.75" x14ac:dyDescent="0.25">
      <c r="E166" s="59"/>
      <c r="F166" s="59"/>
    </row>
    <row r="167" spans="5:6" ht="15.75" x14ac:dyDescent="0.25">
      <c r="E167" s="59"/>
      <c r="F167" s="59"/>
    </row>
    <row r="168" spans="5:6" ht="15.75" x14ac:dyDescent="0.25">
      <c r="E168" s="59"/>
      <c r="F168" s="59"/>
    </row>
    <row r="169" spans="5:6" ht="15.75" x14ac:dyDescent="0.25">
      <c r="E169" s="59"/>
      <c r="F169" s="59"/>
    </row>
    <row r="170" spans="5:6" ht="15.75" x14ac:dyDescent="0.25">
      <c r="E170" s="59"/>
      <c r="F170" s="59"/>
    </row>
    <row r="171" spans="5:6" ht="15.75" x14ac:dyDescent="0.25">
      <c r="E171" s="59"/>
      <c r="F171" s="59"/>
    </row>
    <row r="172" spans="5:6" ht="15.75" x14ac:dyDescent="0.25">
      <c r="E172" s="59"/>
      <c r="F172" s="59"/>
    </row>
    <row r="173" spans="5:6" ht="15.75" x14ac:dyDescent="0.25">
      <c r="E173" s="59"/>
      <c r="F173" s="59"/>
    </row>
    <row r="174" spans="5:6" ht="15.75" x14ac:dyDescent="0.25">
      <c r="E174" s="59"/>
      <c r="F174" s="59"/>
    </row>
    <row r="175" spans="5:6" ht="15.75" x14ac:dyDescent="0.25">
      <c r="E175" s="59"/>
      <c r="F175" s="59"/>
    </row>
    <row r="176" spans="5:6" ht="15.75" x14ac:dyDescent="0.25">
      <c r="E176" s="59"/>
      <c r="F176" s="59"/>
    </row>
    <row r="177" spans="5:6" ht="15.75" x14ac:dyDescent="0.25">
      <c r="E177" s="59"/>
      <c r="F177" s="59"/>
    </row>
    <row r="178" spans="5:6" ht="15.75" x14ac:dyDescent="0.25">
      <c r="E178" s="59"/>
      <c r="F178" s="59"/>
    </row>
    <row r="179" spans="5:6" ht="15.75" x14ac:dyDescent="0.25">
      <c r="E179" s="59"/>
      <c r="F179" s="59"/>
    </row>
    <row r="180" spans="5:6" ht="15.75" x14ac:dyDescent="0.25">
      <c r="E180" s="59"/>
      <c r="F180" s="59"/>
    </row>
    <row r="181" spans="5:6" ht="15.75" x14ac:dyDescent="0.25">
      <c r="E181" s="59"/>
      <c r="F181" s="59"/>
    </row>
    <row r="182" spans="5:6" ht="15.75" x14ac:dyDescent="0.25">
      <c r="E182" s="59"/>
      <c r="F182" s="59"/>
    </row>
    <row r="183" spans="5:6" ht="15.75" x14ac:dyDescent="0.25">
      <c r="E183" s="59"/>
      <c r="F183" s="59"/>
    </row>
    <row r="184" spans="5:6" ht="15.75" x14ac:dyDescent="0.25">
      <c r="E184" s="59"/>
      <c r="F184" s="59"/>
    </row>
    <row r="185" spans="5:6" ht="15.75" x14ac:dyDescent="0.25">
      <c r="E185" s="59"/>
      <c r="F185" s="59"/>
    </row>
    <row r="186" spans="5:6" ht="15.75" x14ac:dyDescent="0.25">
      <c r="E186" s="59"/>
      <c r="F186" s="59"/>
    </row>
    <row r="187" spans="5:6" ht="15.75" x14ac:dyDescent="0.25">
      <c r="E187" s="59"/>
      <c r="F187" s="59"/>
    </row>
    <row r="188" spans="5:6" ht="15.75" x14ac:dyDescent="0.25">
      <c r="E188" s="59"/>
      <c r="F188" s="59"/>
    </row>
    <row r="189" spans="5:6" ht="15.75" x14ac:dyDescent="0.25">
      <c r="E189" s="59"/>
      <c r="F189" s="59"/>
    </row>
    <row r="190" spans="5:6" ht="15.75" x14ac:dyDescent="0.25">
      <c r="E190" s="59"/>
      <c r="F190" s="59"/>
    </row>
    <row r="191" spans="5:6" ht="15.75" x14ac:dyDescent="0.25">
      <c r="E191" s="59"/>
      <c r="F191" s="59"/>
    </row>
    <row r="192" spans="5:6" ht="15.75" x14ac:dyDescent="0.25">
      <c r="E192" s="59"/>
      <c r="F192" s="59"/>
    </row>
    <row r="193" spans="5:6" ht="15.75" x14ac:dyDescent="0.25">
      <c r="E193" s="59"/>
      <c r="F193" s="59"/>
    </row>
    <row r="194" spans="5:6" ht="15.75" x14ac:dyDescent="0.25">
      <c r="E194" s="59"/>
      <c r="F194" s="59"/>
    </row>
    <row r="195" spans="5:6" ht="15.75" x14ac:dyDescent="0.25">
      <c r="E195" s="59"/>
      <c r="F195" s="59"/>
    </row>
    <row r="196" spans="5:6" ht="15.75" x14ac:dyDescent="0.25">
      <c r="E196" s="59"/>
      <c r="F196" s="59"/>
    </row>
    <row r="197" spans="5:6" ht="15.75" x14ac:dyDescent="0.25">
      <c r="E197" s="59"/>
      <c r="F197" s="59"/>
    </row>
    <row r="198" spans="5:6" ht="15.75" x14ac:dyDescent="0.25">
      <c r="E198" s="59"/>
      <c r="F198" s="59"/>
    </row>
    <row r="199" spans="5:6" ht="15.75" x14ac:dyDescent="0.25">
      <c r="E199" s="59"/>
      <c r="F199" s="59"/>
    </row>
    <row r="200" spans="5:6" ht="15.75" x14ac:dyDescent="0.25">
      <c r="E200" s="59"/>
      <c r="F200" s="59"/>
    </row>
    <row r="201" spans="5:6" ht="15.75" x14ac:dyDescent="0.25">
      <c r="E201" s="59"/>
      <c r="F201" s="59"/>
    </row>
    <row r="202" spans="5:6" ht="15.75" x14ac:dyDescent="0.25">
      <c r="E202" s="59"/>
      <c r="F202" s="59"/>
    </row>
    <row r="203" spans="5:6" ht="15.75" x14ac:dyDescent="0.25">
      <c r="E203" s="59"/>
      <c r="F203" s="59"/>
    </row>
    <row r="204" spans="5:6" ht="15.75" x14ac:dyDescent="0.25">
      <c r="E204" s="59"/>
      <c r="F204" s="59"/>
    </row>
    <row r="205" spans="5:6" ht="15.75" x14ac:dyDescent="0.25">
      <c r="E205" s="59"/>
      <c r="F205" s="59"/>
    </row>
    <row r="206" spans="5:6" ht="15.75" x14ac:dyDescent="0.25">
      <c r="E206" s="59"/>
      <c r="F206" s="59"/>
    </row>
    <row r="207" spans="5:6" ht="15.75" x14ac:dyDescent="0.25">
      <c r="E207" s="59"/>
      <c r="F207" s="59"/>
    </row>
    <row r="208" spans="5:6" ht="15.75" x14ac:dyDescent="0.25">
      <c r="E208" s="59"/>
      <c r="F208" s="59"/>
    </row>
    <row r="209" spans="5:6" ht="15.75" x14ac:dyDescent="0.25">
      <c r="E209" s="59"/>
      <c r="F209" s="59"/>
    </row>
    <row r="210" spans="5:6" ht="15.75" x14ac:dyDescent="0.25">
      <c r="E210" s="59"/>
      <c r="F210" s="59"/>
    </row>
    <row r="211" spans="5:6" ht="15.75" x14ac:dyDescent="0.25">
      <c r="E211" s="59"/>
      <c r="F211" s="59"/>
    </row>
    <row r="212" spans="5:6" ht="15.75" x14ac:dyDescent="0.25">
      <c r="E212" s="59"/>
      <c r="F212" s="59"/>
    </row>
    <row r="213" spans="5:6" ht="15.75" x14ac:dyDescent="0.25">
      <c r="E213" s="59"/>
      <c r="F213" s="59"/>
    </row>
    <row r="214" spans="5:6" ht="15.75" x14ac:dyDescent="0.25">
      <c r="E214" s="59"/>
      <c r="F214" s="59"/>
    </row>
    <row r="215" spans="5:6" ht="15.75" x14ac:dyDescent="0.25">
      <c r="E215" s="59"/>
      <c r="F215" s="59"/>
    </row>
    <row r="216" spans="5:6" ht="15.75" x14ac:dyDescent="0.25">
      <c r="E216" s="59"/>
      <c r="F216" s="59"/>
    </row>
    <row r="217" spans="5:6" ht="15.75" x14ac:dyDescent="0.25">
      <c r="E217" s="59"/>
      <c r="F217" s="59"/>
    </row>
    <row r="218" spans="5:6" ht="15.75" x14ac:dyDescent="0.25">
      <c r="E218" s="59"/>
      <c r="F218" s="59"/>
    </row>
    <row r="219" spans="5:6" ht="15.75" x14ac:dyDescent="0.25">
      <c r="E219" s="59"/>
      <c r="F219" s="59"/>
    </row>
    <row r="220" spans="5:6" ht="15.75" x14ac:dyDescent="0.25">
      <c r="E220" s="59"/>
      <c r="F220" s="59"/>
    </row>
    <row r="221" spans="5:6" ht="15.75" x14ac:dyDescent="0.25">
      <c r="E221" s="59"/>
      <c r="F221" s="59"/>
    </row>
    <row r="222" spans="5:6" ht="15.75" x14ac:dyDescent="0.25">
      <c r="E222" s="59"/>
      <c r="F222" s="59"/>
    </row>
    <row r="223" spans="5:6" ht="15.75" x14ac:dyDescent="0.25">
      <c r="E223" s="59"/>
      <c r="F223" s="59"/>
    </row>
    <row r="224" spans="5:6" ht="15.75" x14ac:dyDescent="0.25">
      <c r="E224" s="59"/>
      <c r="F224" s="59"/>
    </row>
    <row r="225" spans="5:6" ht="15.75" x14ac:dyDescent="0.25">
      <c r="E225" s="59"/>
      <c r="F225" s="59"/>
    </row>
    <row r="226" spans="5:6" ht="15.75" x14ac:dyDescent="0.25">
      <c r="E226" s="59"/>
      <c r="F226" s="59"/>
    </row>
    <row r="227" spans="5:6" ht="15.75" x14ac:dyDescent="0.25">
      <c r="E227" s="59"/>
      <c r="F227" s="59"/>
    </row>
    <row r="228" spans="5:6" ht="15.75" x14ac:dyDescent="0.25">
      <c r="E228" s="59"/>
      <c r="F228" s="59"/>
    </row>
    <row r="229" spans="5:6" ht="15.75" x14ac:dyDescent="0.25">
      <c r="E229" s="59"/>
      <c r="F229" s="59"/>
    </row>
    <row r="230" spans="5:6" ht="15.75" x14ac:dyDescent="0.25">
      <c r="E230" s="59"/>
      <c r="F230" s="59"/>
    </row>
    <row r="231" spans="5:6" ht="15.75" x14ac:dyDescent="0.25">
      <c r="E231" s="59"/>
      <c r="F231" s="59"/>
    </row>
    <row r="232" spans="5:6" ht="15.75" x14ac:dyDescent="0.25">
      <c r="E232" s="59"/>
      <c r="F232" s="59"/>
    </row>
    <row r="233" spans="5:6" ht="15.75" x14ac:dyDescent="0.25">
      <c r="E233" s="59"/>
      <c r="F233" s="59"/>
    </row>
    <row r="234" spans="5:6" ht="15.75" x14ac:dyDescent="0.25">
      <c r="E234" s="59"/>
      <c r="F234" s="59"/>
    </row>
    <row r="235" spans="5:6" ht="15.75" x14ac:dyDescent="0.25">
      <c r="E235" s="59"/>
      <c r="F235" s="59"/>
    </row>
    <row r="236" spans="5:6" ht="15.75" x14ac:dyDescent="0.25">
      <c r="E236" s="59"/>
      <c r="F236" s="59"/>
    </row>
    <row r="237" spans="5:6" ht="15.75" x14ac:dyDescent="0.25">
      <c r="E237" s="59"/>
      <c r="F237" s="59"/>
    </row>
    <row r="238" spans="5:6" ht="15.75" x14ac:dyDescent="0.25">
      <c r="E238" s="59"/>
      <c r="F238" s="59"/>
    </row>
    <row r="239" spans="5:6" ht="15.75" x14ac:dyDescent="0.25">
      <c r="E239" s="59"/>
      <c r="F239" s="59"/>
    </row>
    <row r="240" spans="5:6" ht="15.75" x14ac:dyDescent="0.25">
      <c r="E240" s="59"/>
      <c r="F240" s="59"/>
    </row>
    <row r="241" spans="5:6" ht="15.75" x14ac:dyDescent="0.25">
      <c r="E241" s="59"/>
      <c r="F241" s="59"/>
    </row>
    <row r="242" spans="5:6" ht="15.75" x14ac:dyDescent="0.25">
      <c r="E242" s="59"/>
      <c r="F242" s="59"/>
    </row>
    <row r="243" spans="5:6" ht="15.75" x14ac:dyDescent="0.25">
      <c r="E243" s="59"/>
      <c r="F243" s="59"/>
    </row>
    <row r="244" spans="5:6" ht="15.75" x14ac:dyDescent="0.25">
      <c r="E244" s="59"/>
      <c r="F244" s="59"/>
    </row>
    <row r="245" spans="5:6" ht="15.75" x14ac:dyDescent="0.25">
      <c r="E245" s="59"/>
      <c r="F245" s="59"/>
    </row>
    <row r="246" spans="5:6" ht="15.75" x14ac:dyDescent="0.25">
      <c r="E246" s="59"/>
      <c r="F246" s="59"/>
    </row>
    <row r="247" spans="5:6" ht="15.75" x14ac:dyDescent="0.25">
      <c r="E247" s="59"/>
      <c r="F247" s="59"/>
    </row>
    <row r="248" spans="5:6" ht="15.75" x14ac:dyDescent="0.25">
      <c r="E248" s="59"/>
      <c r="F248" s="59"/>
    </row>
    <row r="249" spans="5:6" ht="15.75" x14ac:dyDescent="0.25">
      <c r="E249" s="59"/>
      <c r="F249" s="59"/>
    </row>
    <row r="250" spans="5:6" ht="15.75" x14ac:dyDescent="0.25">
      <c r="E250" s="59"/>
      <c r="F250" s="59"/>
    </row>
    <row r="251" spans="5:6" ht="15.75" x14ac:dyDescent="0.25">
      <c r="E251" s="59"/>
      <c r="F251" s="59"/>
    </row>
    <row r="252" spans="5:6" ht="15.75" x14ac:dyDescent="0.25">
      <c r="E252" s="59"/>
      <c r="F252" s="59"/>
    </row>
    <row r="253" spans="5:6" ht="15.75" x14ac:dyDescent="0.25">
      <c r="E253" s="59"/>
      <c r="F253" s="59"/>
    </row>
    <row r="254" spans="5:6" ht="15.75" x14ac:dyDescent="0.25">
      <c r="E254" s="59"/>
      <c r="F254" s="59"/>
    </row>
    <row r="255" spans="5:6" ht="15.75" x14ac:dyDescent="0.25">
      <c r="E255" s="59"/>
      <c r="F255" s="59"/>
    </row>
    <row r="256" spans="5:6" ht="15.75" x14ac:dyDescent="0.25">
      <c r="E256" s="59"/>
      <c r="F256" s="59"/>
    </row>
    <row r="257" spans="5:6" ht="15.75" x14ac:dyDescent="0.25">
      <c r="E257" s="59"/>
      <c r="F257" s="59"/>
    </row>
    <row r="258" spans="5:6" ht="15.75" x14ac:dyDescent="0.25">
      <c r="E258" s="59"/>
      <c r="F258" s="59"/>
    </row>
    <row r="259" spans="5:6" ht="15.75" x14ac:dyDescent="0.25">
      <c r="E259" s="59"/>
      <c r="F259" s="59"/>
    </row>
    <row r="260" spans="5:6" ht="15.75" x14ac:dyDescent="0.25">
      <c r="E260" s="59"/>
      <c r="F260" s="59"/>
    </row>
    <row r="261" spans="5:6" ht="15.75" x14ac:dyDescent="0.25">
      <c r="E261" s="59"/>
      <c r="F261" s="59"/>
    </row>
    <row r="262" spans="5:6" ht="15.75" x14ac:dyDescent="0.25">
      <c r="E262" s="59"/>
      <c r="F262" s="59"/>
    </row>
    <row r="263" spans="5:6" ht="15.75" x14ac:dyDescent="0.25">
      <c r="E263" s="59"/>
      <c r="F263" s="59"/>
    </row>
    <row r="264" spans="5:6" ht="15.75" x14ac:dyDescent="0.25">
      <c r="E264" s="59"/>
      <c r="F264" s="59"/>
    </row>
    <row r="265" spans="5:6" ht="15.75" x14ac:dyDescent="0.25">
      <c r="E265" s="59"/>
      <c r="F265" s="59"/>
    </row>
    <row r="266" spans="5:6" ht="15.75" x14ac:dyDescent="0.25">
      <c r="E266" s="59"/>
      <c r="F266" s="59"/>
    </row>
    <row r="267" spans="5:6" ht="15.75" x14ac:dyDescent="0.25">
      <c r="E267" s="59"/>
      <c r="F267" s="59"/>
    </row>
    <row r="268" spans="5:6" ht="15.75" x14ac:dyDescent="0.25">
      <c r="E268" s="59"/>
      <c r="F268" s="59"/>
    </row>
    <row r="269" spans="5:6" ht="15.75" x14ac:dyDescent="0.25">
      <c r="E269" s="59"/>
      <c r="F269" s="59"/>
    </row>
    <row r="270" spans="5:6" ht="15.75" x14ac:dyDescent="0.25">
      <c r="E270" s="59"/>
      <c r="F270" s="59"/>
    </row>
    <row r="271" spans="5:6" ht="15.75" x14ac:dyDescent="0.25">
      <c r="E271" s="59"/>
      <c r="F271" s="59"/>
    </row>
    <row r="272" spans="5:6" ht="15.75" x14ac:dyDescent="0.25">
      <c r="E272" s="59"/>
      <c r="F272" s="59"/>
    </row>
    <row r="273" spans="5:6" ht="15.75" x14ac:dyDescent="0.25">
      <c r="E273" s="59"/>
      <c r="F273" s="59"/>
    </row>
    <row r="274" spans="5:6" ht="15.75" x14ac:dyDescent="0.25">
      <c r="E274" s="59"/>
      <c r="F274" s="59"/>
    </row>
    <row r="275" spans="5:6" ht="15.75" x14ac:dyDescent="0.25">
      <c r="E275" s="59"/>
      <c r="F275" s="59"/>
    </row>
    <row r="276" spans="5:6" ht="15.75" x14ac:dyDescent="0.25">
      <c r="E276" s="59"/>
      <c r="F276" s="59"/>
    </row>
    <row r="277" spans="5:6" ht="15.75" x14ac:dyDescent="0.25">
      <c r="E277" s="59"/>
      <c r="F277" s="59"/>
    </row>
    <row r="278" spans="5:6" ht="15.75" x14ac:dyDescent="0.25">
      <c r="E278" s="59"/>
      <c r="F278" s="59"/>
    </row>
    <row r="279" spans="5:6" ht="15.75" x14ac:dyDescent="0.25">
      <c r="E279" s="59"/>
      <c r="F279" s="59"/>
    </row>
    <row r="280" spans="5:6" ht="15.75" x14ac:dyDescent="0.25">
      <c r="E280" s="59"/>
      <c r="F280" s="59"/>
    </row>
    <row r="281" spans="5:6" ht="15.75" x14ac:dyDescent="0.25">
      <c r="E281" s="59"/>
      <c r="F281" s="59"/>
    </row>
    <row r="282" spans="5:6" ht="15.75" x14ac:dyDescent="0.25">
      <c r="E282" s="59"/>
      <c r="F282" s="59"/>
    </row>
    <row r="283" spans="5:6" ht="15.75" x14ac:dyDescent="0.25">
      <c r="E283" s="59"/>
      <c r="F283" s="59"/>
    </row>
    <row r="284" spans="5:6" ht="15.75" x14ac:dyDescent="0.25">
      <c r="E284" s="59"/>
      <c r="F284" s="59"/>
    </row>
    <row r="285" spans="5:6" ht="15.75" x14ac:dyDescent="0.25">
      <c r="E285" s="59"/>
      <c r="F285" s="59"/>
    </row>
    <row r="286" spans="5:6" ht="15.75" x14ac:dyDescent="0.25">
      <c r="E286" s="59"/>
      <c r="F286" s="59"/>
    </row>
    <row r="287" spans="5:6" ht="15.75" x14ac:dyDescent="0.25">
      <c r="E287" s="59"/>
      <c r="F287" s="59"/>
    </row>
    <row r="288" spans="5:6" ht="15.75" x14ac:dyDescent="0.25">
      <c r="E288" s="59"/>
      <c r="F288" s="59"/>
    </row>
    <row r="289" spans="5:6" ht="15.75" x14ac:dyDescent="0.25">
      <c r="E289" s="59"/>
      <c r="F289" s="59"/>
    </row>
    <row r="290" spans="5:6" ht="15.75" x14ac:dyDescent="0.25">
      <c r="E290" s="59"/>
      <c r="F290" s="59"/>
    </row>
    <row r="291" spans="5:6" ht="15.75" x14ac:dyDescent="0.25">
      <c r="E291" s="59"/>
      <c r="F291" s="59"/>
    </row>
    <row r="292" spans="5:6" ht="15.75" x14ac:dyDescent="0.25">
      <c r="E292" s="59"/>
      <c r="F292" s="59"/>
    </row>
    <row r="293" spans="5:6" ht="15.75" x14ac:dyDescent="0.25">
      <c r="E293" s="59"/>
      <c r="F293" s="59"/>
    </row>
    <row r="294" spans="5:6" ht="15.75" x14ac:dyDescent="0.25">
      <c r="E294" s="59"/>
      <c r="F294" s="59"/>
    </row>
    <row r="295" spans="5:6" ht="15.75" x14ac:dyDescent="0.25">
      <c r="E295" s="59"/>
      <c r="F295" s="59"/>
    </row>
    <row r="296" spans="5:6" ht="15.75" x14ac:dyDescent="0.25">
      <c r="E296" s="59"/>
      <c r="F296" s="59"/>
    </row>
    <row r="297" spans="5:6" ht="15.75" x14ac:dyDescent="0.25">
      <c r="E297" s="59"/>
      <c r="F297" s="59"/>
    </row>
    <row r="298" spans="5:6" ht="15.75" x14ac:dyDescent="0.25">
      <c r="E298" s="59"/>
      <c r="F298" s="59"/>
    </row>
    <row r="299" spans="5:6" ht="15.75" x14ac:dyDescent="0.25">
      <c r="E299" s="59"/>
      <c r="F299" s="59"/>
    </row>
    <row r="300" spans="5:6" ht="15.75" x14ac:dyDescent="0.25">
      <c r="E300" s="59"/>
      <c r="F300" s="59"/>
    </row>
    <row r="301" spans="5:6" ht="15.75" x14ac:dyDescent="0.25">
      <c r="E301" s="59"/>
      <c r="F301" s="59"/>
    </row>
    <row r="302" spans="5:6" ht="15.75" x14ac:dyDescent="0.25">
      <c r="E302" s="59"/>
      <c r="F302" s="59"/>
    </row>
    <row r="303" spans="5:6" ht="15.75" x14ac:dyDescent="0.25">
      <c r="E303" s="59"/>
      <c r="F303" s="59"/>
    </row>
    <row r="304" spans="5:6" ht="15.75" x14ac:dyDescent="0.25">
      <c r="E304" s="59"/>
      <c r="F304" s="59"/>
    </row>
    <row r="305" spans="5:6" ht="15.75" x14ac:dyDescent="0.25">
      <c r="E305" s="59"/>
      <c r="F305" s="59"/>
    </row>
    <row r="306" spans="5:6" ht="15.75" x14ac:dyDescent="0.25">
      <c r="E306" s="59"/>
      <c r="F306" s="59"/>
    </row>
    <row r="307" spans="5:6" ht="15.75" x14ac:dyDescent="0.25">
      <c r="E307" s="59"/>
      <c r="F307" s="59"/>
    </row>
    <row r="308" spans="5:6" ht="15.75" x14ac:dyDescent="0.25">
      <c r="E308" s="59"/>
      <c r="F308" s="59"/>
    </row>
    <row r="309" spans="5:6" ht="15.75" x14ac:dyDescent="0.25">
      <c r="E309" s="59"/>
      <c r="F309" s="59"/>
    </row>
    <row r="310" spans="5:6" ht="15.75" x14ac:dyDescent="0.25">
      <c r="E310" s="59"/>
      <c r="F310" s="59"/>
    </row>
    <row r="311" spans="5:6" ht="15.75" x14ac:dyDescent="0.25">
      <c r="E311" s="59"/>
      <c r="F311" s="59"/>
    </row>
    <row r="312" spans="5:6" ht="15.75" x14ac:dyDescent="0.25">
      <c r="E312" s="59"/>
      <c r="F312" s="59"/>
    </row>
    <row r="313" spans="5:6" ht="15.75" x14ac:dyDescent="0.25">
      <c r="E313" s="59"/>
      <c r="F313" s="59"/>
    </row>
    <row r="314" spans="5:6" ht="15.75" x14ac:dyDescent="0.25">
      <c r="E314" s="59"/>
      <c r="F314" s="59"/>
    </row>
    <row r="315" spans="5:6" ht="15.75" x14ac:dyDescent="0.25">
      <c r="E315" s="59"/>
      <c r="F315" s="59"/>
    </row>
    <row r="316" spans="5:6" ht="15.75" x14ac:dyDescent="0.25">
      <c r="E316" s="59"/>
      <c r="F316" s="59"/>
    </row>
    <row r="317" spans="5:6" ht="15.75" x14ac:dyDescent="0.25">
      <c r="E317" s="59"/>
      <c r="F317" s="59"/>
    </row>
    <row r="318" spans="5:6" ht="15.75" x14ac:dyDescent="0.25">
      <c r="E318" s="59"/>
      <c r="F318" s="59"/>
    </row>
    <row r="319" spans="5:6" ht="15.75" x14ac:dyDescent="0.25">
      <c r="E319" s="59"/>
      <c r="F319" s="59"/>
    </row>
    <row r="320" spans="5:6" ht="15.75" x14ac:dyDescent="0.25">
      <c r="E320" s="59"/>
      <c r="F320" s="59"/>
    </row>
    <row r="321" spans="5:6" ht="15.75" x14ac:dyDescent="0.25">
      <c r="E321" s="59"/>
      <c r="F321" s="59"/>
    </row>
    <row r="322" spans="5:6" ht="15.75" x14ac:dyDescent="0.25">
      <c r="E322" s="59"/>
      <c r="F322" s="59"/>
    </row>
    <row r="323" spans="5:6" ht="15.75" x14ac:dyDescent="0.25">
      <c r="E323" s="59"/>
      <c r="F323" s="59"/>
    </row>
    <row r="324" spans="5:6" ht="15.75" x14ac:dyDescent="0.25">
      <c r="E324" s="59"/>
      <c r="F324" s="59"/>
    </row>
    <row r="325" spans="5:6" ht="15.75" x14ac:dyDescent="0.25">
      <c r="E325" s="59"/>
      <c r="F325" s="59"/>
    </row>
    <row r="326" spans="5:6" ht="15.75" x14ac:dyDescent="0.25">
      <c r="E326" s="59"/>
      <c r="F326" s="59"/>
    </row>
    <row r="327" spans="5:6" ht="15.75" x14ac:dyDescent="0.25">
      <c r="E327" s="59"/>
      <c r="F327" s="59"/>
    </row>
    <row r="328" spans="5:6" ht="15.75" x14ac:dyDescent="0.25">
      <c r="E328" s="59"/>
      <c r="F328" s="59"/>
    </row>
    <row r="329" spans="5:6" ht="15.75" x14ac:dyDescent="0.25">
      <c r="E329" s="59"/>
      <c r="F329" s="59"/>
    </row>
    <row r="330" spans="5:6" ht="15.75" x14ac:dyDescent="0.25">
      <c r="E330" s="59"/>
      <c r="F330" s="59"/>
    </row>
    <row r="331" spans="5:6" ht="15.75" x14ac:dyDescent="0.25">
      <c r="E331" s="59"/>
      <c r="F331" s="59"/>
    </row>
    <row r="332" spans="5:6" ht="15.75" x14ac:dyDescent="0.25">
      <c r="E332" s="59"/>
      <c r="F332" s="59"/>
    </row>
    <row r="333" spans="5:6" ht="15.75" x14ac:dyDescent="0.25">
      <c r="E333" s="59"/>
      <c r="F333" s="59"/>
    </row>
    <row r="334" spans="5:6" ht="15.75" x14ac:dyDescent="0.25">
      <c r="E334" s="59"/>
      <c r="F334" s="59"/>
    </row>
    <row r="335" spans="5:6" ht="15.75" x14ac:dyDescent="0.25">
      <c r="E335" s="59"/>
      <c r="F335" s="59"/>
    </row>
    <row r="336" spans="5:6" ht="15.75" x14ac:dyDescent="0.25">
      <c r="E336" s="59"/>
      <c r="F336" s="59"/>
    </row>
    <row r="337" spans="5:6" ht="15.75" x14ac:dyDescent="0.25">
      <c r="E337" s="59"/>
      <c r="F337" s="59"/>
    </row>
    <row r="338" spans="5:6" ht="15.75" x14ac:dyDescent="0.25">
      <c r="E338" s="59"/>
      <c r="F338" s="59"/>
    </row>
    <row r="339" spans="5:6" ht="15.75" x14ac:dyDescent="0.25">
      <c r="E339" s="59"/>
      <c r="F339" s="59"/>
    </row>
    <row r="340" spans="5:6" ht="15.75" x14ac:dyDescent="0.25">
      <c r="E340" s="59"/>
      <c r="F340" s="59"/>
    </row>
    <row r="341" spans="5:6" ht="15.75" x14ac:dyDescent="0.25">
      <c r="E341" s="59"/>
      <c r="F341" s="59"/>
    </row>
    <row r="342" spans="5:6" ht="15.75" x14ac:dyDescent="0.25">
      <c r="E342" s="59"/>
      <c r="F342" s="59"/>
    </row>
    <row r="343" spans="5:6" ht="15.75" x14ac:dyDescent="0.25">
      <c r="E343" s="59"/>
      <c r="F343" s="59"/>
    </row>
    <row r="344" spans="5:6" ht="15.75" x14ac:dyDescent="0.25">
      <c r="E344" s="59"/>
      <c r="F344" s="59"/>
    </row>
    <row r="345" spans="5:6" ht="15.75" x14ac:dyDescent="0.25">
      <c r="E345" s="59"/>
      <c r="F345" s="59"/>
    </row>
    <row r="346" spans="5:6" ht="15.75" x14ac:dyDescent="0.25">
      <c r="E346" s="59"/>
      <c r="F346" s="59"/>
    </row>
    <row r="347" spans="5:6" ht="15.75" x14ac:dyDescent="0.25">
      <c r="E347" s="59"/>
      <c r="F347" s="59"/>
    </row>
    <row r="348" spans="5:6" ht="15.75" x14ac:dyDescent="0.25">
      <c r="E348" s="59"/>
      <c r="F348" s="59"/>
    </row>
    <row r="349" spans="5:6" ht="15.75" x14ac:dyDescent="0.25">
      <c r="E349" s="59"/>
      <c r="F349" s="59"/>
    </row>
    <row r="350" spans="5:6" ht="15.75" x14ac:dyDescent="0.25">
      <c r="E350" s="59"/>
      <c r="F350" s="59"/>
    </row>
    <row r="351" spans="5:6" ht="15.75" x14ac:dyDescent="0.25">
      <c r="E351" s="59"/>
      <c r="F351" s="59"/>
    </row>
    <row r="352" spans="5:6" ht="15.75" x14ac:dyDescent="0.25">
      <c r="E352" s="59"/>
      <c r="F352" s="59"/>
    </row>
    <row r="353" spans="5:6" ht="15.75" x14ac:dyDescent="0.25">
      <c r="E353" s="59"/>
      <c r="F353" s="59"/>
    </row>
  </sheetData>
  <mergeCells count="5">
    <mergeCell ref="A1:I1"/>
    <mergeCell ref="K12:N12"/>
    <mergeCell ref="H11:H12"/>
    <mergeCell ref="H9:H10"/>
    <mergeCell ref="I9:I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>
      <selection sqref="A1:I1"/>
    </sheetView>
  </sheetViews>
  <sheetFormatPr defaultRowHeight="15" x14ac:dyDescent="0.25"/>
  <cols>
    <col min="1" max="1" width="12.85546875" bestFit="1" customWidth="1"/>
    <col min="2" max="2" width="16.42578125" style="50" customWidth="1"/>
    <col min="3" max="3" width="2.140625" customWidth="1"/>
    <col min="4" max="4" width="12.42578125" customWidth="1"/>
    <col min="5" max="5" width="9.5703125" bestFit="1" customWidth="1"/>
    <col min="6" max="6" width="13.85546875" bestFit="1" customWidth="1"/>
    <col min="7" max="7" width="2.28515625" customWidth="1"/>
    <col min="8" max="8" width="10.7109375" bestFit="1" customWidth="1"/>
    <col min="9" max="10" width="13.85546875" bestFit="1" customWidth="1"/>
    <col min="11" max="11" width="14.28515625" bestFit="1" customWidth="1"/>
    <col min="12" max="12" width="13.85546875" bestFit="1" customWidth="1"/>
    <col min="14" max="14" width="16.5703125" bestFit="1" customWidth="1"/>
    <col min="16" max="17" width="10.7109375" bestFit="1" customWidth="1"/>
    <col min="18" max="19" width="11.7109375" bestFit="1" customWidth="1"/>
    <col min="20" max="20" width="12.42578125" bestFit="1" customWidth="1"/>
    <col min="21" max="21" width="15.42578125" bestFit="1" customWidth="1"/>
    <col min="22" max="22" width="9.85546875" bestFit="1" customWidth="1"/>
  </cols>
  <sheetData>
    <row r="1" spans="1:22" ht="15.75" x14ac:dyDescent="0.25">
      <c r="A1" s="178" t="s">
        <v>62</v>
      </c>
      <c r="B1" s="178"/>
      <c r="C1" s="178"/>
      <c r="D1" s="178"/>
      <c r="E1" s="178"/>
      <c r="F1" s="178"/>
      <c r="G1" s="178"/>
      <c r="H1" s="178"/>
      <c r="I1" s="178"/>
      <c r="P1" s="52"/>
      <c r="R1" s="50"/>
      <c r="S1" s="50"/>
      <c r="T1" s="50"/>
    </row>
    <row r="2" spans="1:22" ht="15.75" x14ac:dyDescent="0.25">
      <c r="A2" s="58" t="s">
        <v>64</v>
      </c>
      <c r="B2" s="59"/>
      <c r="C2" s="58"/>
      <c r="D2" s="58"/>
      <c r="E2" s="58"/>
      <c r="F2" s="58"/>
      <c r="G2" s="58"/>
      <c r="H2" s="58"/>
      <c r="I2" s="58"/>
      <c r="R2" s="70"/>
      <c r="S2" s="70"/>
      <c r="T2" s="50"/>
    </row>
    <row r="3" spans="1:22" ht="15.75" x14ac:dyDescent="0.25">
      <c r="A3" s="58" t="s">
        <v>63</v>
      </c>
      <c r="B3" s="59">
        <v>12500000</v>
      </c>
      <c r="C3" s="58"/>
      <c r="D3" s="58"/>
      <c r="E3" s="58"/>
      <c r="F3" s="58"/>
      <c r="G3" s="58"/>
      <c r="H3" s="58"/>
      <c r="I3" s="58" t="s">
        <v>67</v>
      </c>
      <c r="R3" s="50"/>
      <c r="S3" s="50"/>
      <c r="T3" s="50"/>
    </row>
    <row r="4" spans="1:22" ht="15.75" x14ac:dyDescent="0.25">
      <c r="A4" s="58"/>
      <c r="B4" s="59"/>
      <c r="C4" s="58"/>
      <c r="D4" s="58"/>
      <c r="E4" s="58"/>
      <c r="F4" s="58"/>
      <c r="G4" s="58"/>
      <c r="H4" s="58" t="s">
        <v>65</v>
      </c>
      <c r="I4" s="58" t="s">
        <v>68</v>
      </c>
      <c r="P4" s="48"/>
      <c r="Q4" s="48"/>
      <c r="R4" s="50"/>
      <c r="S4" s="50"/>
      <c r="T4" s="50"/>
      <c r="U4" s="50"/>
      <c r="V4" s="50"/>
    </row>
    <row r="5" spans="1:22" ht="15.75" x14ac:dyDescent="0.25">
      <c r="A5" s="60" t="s">
        <v>70</v>
      </c>
      <c r="B5" s="59"/>
      <c r="C5" s="58"/>
      <c r="D5" s="58"/>
      <c r="E5" s="58"/>
      <c r="F5" s="58"/>
      <c r="G5" s="58"/>
      <c r="H5" s="61" t="s">
        <v>66</v>
      </c>
      <c r="I5" s="61" t="s">
        <v>69</v>
      </c>
      <c r="Q5" s="48"/>
      <c r="R5" s="50"/>
      <c r="S5" s="50"/>
      <c r="T5" s="50"/>
    </row>
    <row r="6" spans="1:22" ht="15.75" x14ac:dyDescent="0.25">
      <c r="A6" s="62">
        <v>38708</v>
      </c>
      <c r="B6" s="59">
        <v>1500000</v>
      </c>
      <c r="C6" s="58"/>
      <c r="D6" s="58" t="s">
        <v>59</v>
      </c>
      <c r="E6" s="58"/>
      <c r="F6" s="58"/>
      <c r="G6" s="58"/>
      <c r="H6" s="58"/>
      <c r="I6" s="62"/>
      <c r="P6" s="48"/>
      <c r="Q6" s="48"/>
      <c r="R6" s="50"/>
      <c r="S6" s="50"/>
      <c r="T6" s="50"/>
    </row>
    <row r="7" spans="1:22" ht="15.75" x14ac:dyDescent="0.25">
      <c r="A7" s="62">
        <v>39059</v>
      </c>
      <c r="B7" s="59">
        <v>3000000</v>
      </c>
      <c r="C7" s="58"/>
      <c r="D7" s="58" t="s">
        <v>59</v>
      </c>
      <c r="E7" s="58"/>
      <c r="F7" s="58"/>
      <c r="G7" s="58"/>
      <c r="H7" s="58"/>
      <c r="I7" s="58"/>
      <c r="Q7" s="48"/>
      <c r="R7" s="50"/>
      <c r="S7" s="50"/>
      <c r="T7" s="50"/>
    </row>
    <row r="8" spans="1:22" ht="15.75" x14ac:dyDescent="0.25">
      <c r="A8" s="58"/>
      <c r="B8" s="63">
        <f>SUM(B6:B7)</f>
        <v>4500000</v>
      </c>
      <c r="C8" s="58"/>
      <c r="D8" s="58" t="s">
        <v>60</v>
      </c>
      <c r="E8" s="58"/>
      <c r="F8" s="62"/>
      <c r="G8" s="58"/>
      <c r="H8" s="62"/>
      <c r="I8" s="58"/>
      <c r="P8" s="48"/>
      <c r="Q8" s="48"/>
      <c r="R8" s="50"/>
      <c r="S8" s="50"/>
      <c r="T8" s="50"/>
    </row>
    <row r="9" spans="1:22" ht="15.75" x14ac:dyDescent="0.25">
      <c r="A9" s="62"/>
      <c r="B9" s="59">
        <v>-1169982</v>
      </c>
      <c r="C9" s="58"/>
      <c r="D9" s="58" t="s">
        <v>58</v>
      </c>
      <c r="E9" s="58" t="s">
        <v>61</v>
      </c>
      <c r="F9" s="62">
        <v>39263</v>
      </c>
      <c r="G9" s="58"/>
      <c r="H9" s="62">
        <v>38960</v>
      </c>
      <c r="I9" s="62"/>
      <c r="P9" s="48"/>
      <c r="Q9" s="48"/>
      <c r="R9" s="50"/>
      <c r="S9" s="50"/>
      <c r="T9" s="50"/>
    </row>
    <row r="10" spans="1:22" ht="15.75" x14ac:dyDescent="0.25">
      <c r="A10" s="58"/>
      <c r="B10" s="63">
        <f>SUM(B8:B9)</f>
        <v>3330018</v>
      </c>
      <c r="C10" s="58"/>
      <c r="D10" s="58" t="s">
        <v>60</v>
      </c>
      <c r="E10" s="58"/>
      <c r="F10" s="58"/>
      <c r="G10" s="58"/>
      <c r="H10" s="58"/>
      <c r="I10" s="62"/>
      <c r="L10" s="59"/>
      <c r="Q10" s="48"/>
      <c r="R10" s="50"/>
      <c r="S10" s="50"/>
      <c r="T10" s="50"/>
    </row>
    <row r="11" spans="1:22" ht="15.75" x14ac:dyDescent="0.25">
      <c r="A11" s="58"/>
      <c r="B11" s="59">
        <v>-1090900.2</v>
      </c>
      <c r="C11" s="58"/>
      <c r="D11" s="58" t="s">
        <v>58</v>
      </c>
      <c r="E11" s="58"/>
      <c r="F11" s="58"/>
      <c r="G11" s="58"/>
      <c r="H11" s="62"/>
      <c r="I11" s="58"/>
      <c r="L11" s="59"/>
      <c r="Q11" s="48"/>
      <c r="R11" s="50"/>
      <c r="S11" s="50"/>
      <c r="T11" s="50"/>
    </row>
    <row r="12" spans="1:22" ht="15.75" x14ac:dyDescent="0.25">
      <c r="A12" s="58"/>
      <c r="B12" s="63">
        <f>SUM(B10:B11)</f>
        <v>2239117.7999999998</v>
      </c>
      <c r="C12" s="58"/>
      <c r="D12" s="58" t="s">
        <v>60</v>
      </c>
      <c r="E12" s="58"/>
      <c r="F12" s="58"/>
      <c r="G12" s="58"/>
      <c r="H12" s="58"/>
      <c r="I12" s="58"/>
      <c r="K12" s="179" t="s">
        <v>74</v>
      </c>
      <c r="L12" s="179"/>
      <c r="M12" s="179"/>
      <c r="N12" s="179"/>
      <c r="R12" s="50"/>
      <c r="S12" s="50"/>
      <c r="T12" s="50"/>
    </row>
    <row r="13" spans="1:22" ht="15.75" x14ac:dyDescent="0.25">
      <c r="A13" s="62">
        <v>39429</v>
      </c>
      <c r="B13" s="59">
        <v>3000000</v>
      </c>
      <c r="C13" s="58"/>
      <c r="D13" s="58" t="s">
        <v>59</v>
      </c>
      <c r="E13" s="58"/>
      <c r="F13" s="58"/>
      <c r="G13" s="58"/>
      <c r="H13" s="58"/>
      <c r="I13" s="58"/>
      <c r="K13" t="s">
        <v>75</v>
      </c>
      <c r="L13" s="59"/>
      <c r="P13" s="52"/>
      <c r="R13" s="50"/>
      <c r="S13" s="50"/>
      <c r="T13" s="50"/>
    </row>
    <row r="14" spans="1:22" ht="15.75" x14ac:dyDescent="0.25">
      <c r="A14" s="58"/>
      <c r="B14" s="63">
        <f>SUM(B12:B13)</f>
        <v>5239117.8</v>
      </c>
      <c r="C14" s="58"/>
      <c r="D14" s="58" t="s">
        <v>60</v>
      </c>
      <c r="E14" s="58"/>
      <c r="F14" s="58"/>
      <c r="G14" s="58"/>
      <c r="H14" s="58"/>
      <c r="I14" s="58"/>
      <c r="K14" t="s">
        <v>71</v>
      </c>
      <c r="L14" s="59">
        <v>3409100</v>
      </c>
      <c r="N14" t="s">
        <v>72</v>
      </c>
      <c r="P14" s="48"/>
      <c r="Q14" s="48"/>
      <c r="R14" s="50"/>
      <c r="S14" s="50"/>
      <c r="T14" s="50"/>
    </row>
    <row r="15" spans="1:22" ht="15.75" x14ac:dyDescent="0.25">
      <c r="A15" s="58"/>
      <c r="B15" s="59">
        <v>-168256</v>
      </c>
      <c r="C15" s="58"/>
      <c r="D15" s="58" t="s">
        <v>58</v>
      </c>
      <c r="E15" s="58"/>
      <c r="F15" s="62">
        <v>39447</v>
      </c>
      <c r="G15" s="58"/>
      <c r="H15" s="62">
        <v>39608</v>
      </c>
      <c r="I15" s="58"/>
      <c r="K15" t="s">
        <v>76</v>
      </c>
      <c r="L15" s="65">
        <v>1158976</v>
      </c>
      <c r="M15" s="68" t="s">
        <v>73</v>
      </c>
      <c r="N15" s="59">
        <v>2831744</v>
      </c>
      <c r="P15" s="48"/>
      <c r="Q15" s="48"/>
      <c r="R15" s="50"/>
      <c r="S15" s="50"/>
      <c r="T15" s="50"/>
    </row>
    <row r="16" spans="1:22" ht="15.75" x14ac:dyDescent="0.25">
      <c r="A16" s="58"/>
      <c r="B16" s="63">
        <f>SUM(B14:B15)</f>
        <v>5070861.8</v>
      </c>
      <c r="C16" s="58"/>
      <c r="D16" s="58" t="s">
        <v>60</v>
      </c>
      <c r="E16" s="58"/>
      <c r="F16" s="58"/>
      <c r="G16" s="58"/>
      <c r="H16" s="58"/>
      <c r="I16" s="58"/>
      <c r="K16" t="s">
        <v>77</v>
      </c>
      <c r="L16" s="65">
        <v>3341024</v>
      </c>
      <c r="M16" t="s">
        <v>78</v>
      </c>
      <c r="N16" s="59">
        <v>168256</v>
      </c>
      <c r="P16" s="48"/>
      <c r="Q16" s="48"/>
      <c r="R16" s="50"/>
      <c r="S16" s="66"/>
      <c r="T16" s="50"/>
    </row>
    <row r="17" spans="1:20" ht="15.75" x14ac:dyDescent="0.25">
      <c r="A17" s="58"/>
      <c r="B17" s="59"/>
      <c r="C17" s="58"/>
      <c r="D17" s="58"/>
      <c r="E17" s="58"/>
      <c r="F17" s="62">
        <v>39602</v>
      </c>
      <c r="G17" s="58"/>
      <c r="H17" s="58"/>
      <c r="I17" s="58"/>
      <c r="L17" s="63">
        <f>SUM(L15:L16)</f>
        <v>4500000</v>
      </c>
      <c r="N17" s="59"/>
      <c r="P17" s="48"/>
      <c r="Q17" s="48"/>
      <c r="R17" s="50"/>
      <c r="S17" s="50"/>
      <c r="T17" s="50"/>
    </row>
    <row r="18" spans="1:20" ht="15.75" x14ac:dyDescent="0.25">
      <c r="A18" s="58"/>
      <c r="B18" s="59"/>
      <c r="C18" s="58"/>
      <c r="D18" s="58"/>
      <c r="E18" s="62">
        <v>39448</v>
      </c>
      <c r="F18" s="59">
        <v>3990720</v>
      </c>
      <c r="G18" s="58"/>
      <c r="H18" s="58"/>
      <c r="I18" s="58"/>
      <c r="L18" s="59"/>
      <c r="N18" s="59"/>
      <c r="R18" s="50"/>
      <c r="S18" s="50"/>
      <c r="T18" s="50"/>
    </row>
    <row r="19" spans="1:20" ht="15.75" x14ac:dyDescent="0.25">
      <c r="A19" s="58"/>
      <c r="B19" s="59"/>
      <c r="C19" s="58"/>
      <c r="D19" s="58"/>
      <c r="E19" s="62">
        <v>39602</v>
      </c>
      <c r="F19" s="59">
        <v>2397013</v>
      </c>
      <c r="G19" s="58"/>
      <c r="H19" s="58"/>
      <c r="I19" s="58"/>
      <c r="L19" s="59"/>
      <c r="N19" s="59"/>
      <c r="R19" s="50"/>
      <c r="S19" s="50"/>
      <c r="T19" s="50"/>
    </row>
    <row r="20" spans="1:20" ht="15.75" x14ac:dyDescent="0.25">
      <c r="A20" s="58"/>
      <c r="B20" s="59"/>
      <c r="C20" s="58"/>
      <c r="D20" s="58"/>
      <c r="E20" s="58"/>
      <c r="F20" s="59">
        <f>5102987-2397013</f>
        <v>2705974</v>
      </c>
      <c r="G20" s="58"/>
      <c r="H20" s="58"/>
      <c r="I20" s="58"/>
      <c r="L20" s="59"/>
      <c r="N20" s="59"/>
      <c r="Q20" s="48"/>
      <c r="R20" s="50"/>
      <c r="S20" s="50"/>
      <c r="T20" s="50"/>
    </row>
    <row r="21" spans="1:20" ht="15.75" x14ac:dyDescent="0.25">
      <c r="A21" s="58"/>
      <c r="B21" s="59"/>
      <c r="C21" s="58"/>
      <c r="D21" s="58"/>
      <c r="E21" s="58"/>
      <c r="F21" s="59"/>
      <c r="G21" s="58"/>
      <c r="H21" s="58"/>
      <c r="I21" s="58"/>
      <c r="L21" s="59"/>
      <c r="N21" s="59"/>
      <c r="R21" s="50"/>
      <c r="S21" s="50"/>
      <c r="T21" s="50"/>
    </row>
    <row r="22" spans="1:20" ht="15.75" x14ac:dyDescent="0.25">
      <c r="A22" s="58"/>
      <c r="B22" s="59"/>
      <c r="C22" s="58"/>
      <c r="D22" s="58"/>
      <c r="E22" s="58"/>
      <c r="F22" s="59"/>
      <c r="G22" s="58"/>
      <c r="H22" s="58"/>
      <c r="I22" s="58"/>
      <c r="L22" s="59"/>
      <c r="N22" s="59"/>
    </row>
    <row r="23" spans="1:20" ht="15.75" x14ac:dyDescent="0.25">
      <c r="A23" s="62">
        <v>38708</v>
      </c>
      <c r="B23" s="59">
        <v>1500000</v>
      </c>
      <c r="C23" s="58"/>
      <c r="D23" s="58"/>
      <c r="E23" s="58"/>
      <c r="F23" s="59"/>
      <c r="G23" s="58"/>
      <c r="H23" s="58"/>
      <c r="I23" s="58"/>
      <c r="L23" s="59">
        <f>4500000-3409100</f>
        <v>1090900</v>
      </c>
      <c r="N23" s="59"/>
    </row>
    <row r="24" spans="1:20" ht="15.75" x14ac:dyDescent="0.25">
      <c r="A24" s="62">
        <v>39059</v>
      </c>
      <c r="B24" s="59">
        <v>3000000</v>
      </c>
      <c r="C24" s="58"/>
      <c r="D24" s="58"/>
      <c r="E24" s="58"/>
      <c r="F24" s="59"/>
      <c r="G24" s="58"/>
      <c r="H24" s="58"/>
      <c r="I24" s="58"/>
      <c r="L24" s="59"/>
      <c r="N24" s="59"/>
    </row>
    <row r="25" spans="1:20" ht="15.75" x14ac:dyDescent="0.25">
      <c r="A25" s="58"/>
      <c r="B25" s="63">
        <v>4500000</v>
      </c>
      <c r="C25" s="58"/>
      <c r="D25" s="58"/>
      <c r="E25" s="58"/>
      <c r="F25" s="59"/>
      <c r="G25" s="58"/>
      <c r="H25" s="58"/>
      <c r="I25" s="58"/>
      <c r="L25" s="59"/>
      <c r="N25" s="59"/>
    </row>
    <row r="26" spans="1:20" ht="15.75" x14ac:dyDescent="0.25">
      <c r="A26" s="58"/>
      <c r="B26" s="59">
        <v>-1090900</v>
      </c>
      <c r="C26" s="58" t="s">
        <v>94</v>
      </c>
      <c r="D26" s="58" t="s">
        <v>89</v>
      </c>
      <c r="E26" s="58"/>
      <c r="F26" s="59"/>
      <c r="G26" s="58"/>
      <c r="H26" s="58"/>
      <c r="I26" s="58"/>
      <c r="L26" s="59"/>
      <c r="N26" s="59"/>
    </row>
    <row r="27" spans="1:20" ht="15.75" x14ac:dyDescent="0.25">
      <c r="A27" s="58"/>
      <c r="B27" s="63">
        <f>SUM(B25:B26)</f>
        <v>3409100</v>
      </c>
      <c r="C27" s="58"/>
      <c r="D27" s="62">
        <v>39082</v>
      </c>
      <c r="E27" s="58"/>
      <c r="F27" s="59"/>
      <c r="G27" s="58"/>
      <c r="H27" s="58"/>
      <c r="I27" s="58"/>
      <c r="L27" s="59">
        <f>1158976-1090900</f>
        <v>68076</v>
      </c>
      <c r="N27" s="59"/>
    </row>
    <row r="28" spans="1:20" ht="15.75" x14ac:dyDescent="0.25">
      <c r="A28" s="58"/>
      <c r="B28" s="59">
        <v>-68076</v>
      </c>
      <c r="C28" s="58" t="s">
        <v>94</v>
      </c>
      <c r="D28" t="s">
        <v>90</v>
      </c>
      <c r="E28" s="58"/>
      <c r="F28" t="s">
        <v>92</v>
      </c>
      <c r="G28" s="58"/>
      <c r="H28" s="58"/>
      <c r="I28" s="59"/>
      <c r="L28" s="59"/>
      <c r="N28" s="59"/>
    </row>
    <row r="29" spans="1:20" ht="15.75" x14ac:dyDescent="0.25">
      <c r="A29" s="58"/>
      <c r="B29" s="63">
        <f>SUM(B27:B28)</f>
        <v>3341024</v>
      </c>
      <c r="C29" s="58"/>
      <c r="D29" s="48">
        <v>39447</v>
      </c>
      <c r="E29" s="58"/>
      <c r="F29" s="59">
        <f>B26+B28</f>
        <v>-1158976</v>
      </c>
      <c r="G29" t="s">
        <v>94</v>
      </c>
      <c r="L29" s="59"/>
      <c r="N29" s="59"/>
    </row>
    <row r="30" spans="1:20" ht="15.75" x14ac:dyDescent="0.25">
      <c r="A30" s="58"/>
      <c r="B30" s="67">
        <v>-944011</v>
      </c>
      <c r="C30" s="58" t="s">
        <v>95</v>
      </c>
      <c r="D30" s="48" t="s">
        <v>93</v>
      </c>
      <c r="E30" s="58"/>
      <c r="F30" s="59"/>
      <c r="L30" s="59"/>
      <c r="N30" s="59"/>
    </row>
    <row r="31" spans="1:20" ht="15.75" x14ac:dyDescent="0.25">
      <c r="A31" s="58"/>
      <c r="B31" s="63">
        <f>SUM(B29:B30)</f>
        <v>2397013</v>
      </c>
      <c r="C31" s="58"/>
      <c r="D31" s="48">
        <v>39629</v>
      </c>
      <c r="E31" s="58"/>
      <c r="F31" s="59"/>
      <c r="L31" s="59"/>
      <c r="N31" s="59"/>
    </row>
    <row r="32" spans="1:20" ht="15.75" x14ac:dyDescent="0.25">
      <c r="A32" s="58"/>
      <c r="B32" s="67">
        <v>-294026</v>
      </c>
      <c r="C32" s="58"/>
      <c r="D32" s="48" t="s">
        <v>93</v>
      </c>
      <c r="E32" s="58"/>
      <c r="F32" s="59"/>
      <c r="L32" s="59"/>
      <c r="N32" s="59"/>
    </row>
    <row r="33" spans="1:14" ht="15.75" x14ac:dyDescent="0.25">
      <c r="A33" s="58"/>
      <c r="B33" s="63">
        <f>SUM(B31:B32)</f>
        <v>2102987</v>
      </c>
      <c r="C33" s="58"/>
      <c r="D33" s="48"/>
      <c r="E33" s="58"/>
      <c r="F33" s="59">
        <v>1169982</v>
      </c>
      <c r="G33" s="58" t="s">
        <v>91</v>
      </c>
      <c r="H33" s="58" t="s">
        <v>79</v>
      </c>
      <c r="I33" s="59">
        <f>-4500000-1169982</f>
        <v>-5669982</v>
      </c>
      <c r="J33" t="s">
        <v>60</v>
      </c>
      <c r="L33" s="59"/>
      <c r="N33" s="59"/>
    </row>
    <row r="34" spans="1:14" ht="15.75" x14ac:dyDescent="0.25">
      <c r="A34" s="58"/>
      <c r="B34" s="67">
        <v>-1169982</v>
      </c>
      <c r="C34" s="58"/>
      <c r="D34" s="48"/>
      <c r="E34" s="58"/>
      <c r="F34" s="59"/>
      <c r="G34" s="58"/>
      <c r="H34" s="58"/>
      <c r="I34" s="59"/>
      <c r="L34" s="59"/>
      <c r="N34" s="59"/>
    </row>
    <row r="35" spans="1:14" ht="15.75" x14ac:dyDescent="0.25">
      <c r="A35" s="62">
        <v>39429</v>
      </c>
      <c r="B35" s="67">
        <v>3000000</v>
      </c>
      <c r="C35" s="58"/>
      <c r="D35" s="48"/>
      <c r="E35" s="58"/>
      <c r="F35" s="59"/>
      <c r="G35" s="58"/>
      <c r="H35" s="58"/>
      <c r="I35" s="59">
        <f>1169982-68076</f>
        <v>1101906</v>
      </c>
      <c r="L35" s="59"/>
      <c r="N35" s="59"/>
    </row>
    <row r="36" spans="1:14" ht="15.75" x14ac:dyDescent="0.25">
      <c r="A36" s="62"/>
      <c r="B36" s="63">
        <f>SUM(B33:B35)</f>
        <v>3933005</v>
      </c>
      <c r="C36" s="58"/>
      <c r="D36" s="48"/>
      <c r="E36" s="58"/>
      <c r="F36" s="59"/>
      <c r="G36" s="58"/>
      <c r="H36" s="58"/>
      <c r="I36" s="59"/>
      <c r="L36" s="59"/>
      <c r="N36" s="59"/>
    </row>
    <row r="37" spans="1:14" ht="15.75" x14ac:dyDescent="0.25">
      <c r="A37" s="58"/>
      <c r="B37" s="67">
        <v>-168256</v>
      </c>
      <c r="C37" s="58"/>
      <c r="D37" s="62" t="s">
        <v>90</v>
      </c>
      <c r="E37" s="58"/>
      <c r="F37" s="59">
        <v>-2171042</v>
      </c>
      <c r="G37" s="58"/>
      <c r="H37" s="58"/>
      <c r="I37" s="59"/>
      <c r="L37" s="59"/>
      <c r="N37" s="59"/>
    </row>
    <row r="38" spans="1:14" ht="15.75" x14ac:dyDescent="0.25">
      <c r="A38" s="58"/>
      <c r="B38" s="63">
        <f>SUM(B36:B37)</f>
        <v>3764749</v>
      </c>
      <c r="C38" s="58"/>
      <c r="D38" s="58"/>
      <c r="E38" s="58"/>
      <c r="F38" s="59"/>
      <c r="G38" s="58"/>
      <c r="H38" s="58"/>
      <c r="I38" s="59"/>
      <c r="L38" s="59">
        <f>1169982-3341024</f>
        <v>-2171042</v>
      </c>
      <c r="N38" s="59"/>
    </row>
    <row r="39" spans="1:14" ht="15.75" x14ac:dyDescent="0.25">
      <c r="A39" s="58"/>
      <c r="B39" s="59">
        <v>-617736</v>
      </c>
      <c r="C39" s="58"/>
      <c r="D39" s="58"/>
      <c r="E39" s="58"/>
      <c r="F39" s="59"/>
      <c r="G39" s="58"/>
      <c r="H39" s="58"/>
      <c r="I39" s="59"/>
      <c r="N39" s="59"/>
    </row>
    <row r="40" spans="1:14" ht="15.75" x14ac:dyDescent="0.25">
      <c r="A40" s="58"/>
      <c r="B40" s="59">
        <f>SUM(B38:B39)</f>
        <v>3147013</v>
      </c>
      <c r="C40" s="58"/>
      <c r="D40" s="58"/>
      <c r="E40" s="58"/>
      <c r="F40" s="59"/>
      <c r="G40" s="58"/>
      <c r="H40" s="58"/>
      <c r="I40" s="58"/>
      <c r="N40" s="59"/>
    </row>
    <row r="41" spans="1:14" ht="15.75" x14ac:dyDescent="0.25">
      <c r="B41" s="50">
        <v>-1338238</v>
      </c>
      <c r="F41" s="59">
        <f>2102987-2397013</f>
        <v>-294026</v>
      </c>
      <c r="L41" s="59">
        <v>-3735251</v>
      </c>
    </row>
    <row r="42" spans="1:14" ht="15.75" x14ac:dyDescent="0.25">
      <c r="B42" s="50">
        <f>SUM(B40:B41)</f>
        <v>1808775</v>
      </c>
      <c r="F42" s="59"/>
      <c r="J42" s="59">
        <f>-5102987+7500000</f>
        <v>2397013</v>
      </c>
      <c r="L42" s="59">
        <v>2397013</v>
      </c>
      <c r="M42">
        <v>3147013</v>
      </c>
    </row>
    <row r="43" spans="1:14" ht="15.75" x14ac:dyDescent="0.25">
      <c r="F43" s="59"/>
      <c r="L43" s="50">
        <f>SUM(L41:L42)</f>
        <v>-1338238</v>
      </c>
    </row>
    <row r="44" spans="1:14" ht="15.75" x14ac:dyDescent="0.25">
      <c r="F44" s="59"/>
    </row>
    <row r="45" spans="1:14" ht="15.75" x14ac:dyDescent="0.25">
      <c r="F45" s="59"/>
    </row>
    <row r="46" spans="1:14" ht="15.75" x14ac:dyDescent="0.25">
      <c r="F46" s="59"/>
    </row>
    <row r="47" spans="1:14" ht="15.75" x14ac:dyDescent="0.25">
      <c r="F47" s="59"/>
    </row>
    <row r="48" spans="1:14" ht="15.75" x14ac:dyDescent="0.25">
      <c r="F48" s="59"/>
    </row>
    <row r="49" spans="6:6" ht="15.75" x14ac:dyDescent="0.25">
      <c r="F49" s="59"/>
    </row>
    <row r="50" spans="6:6" ht="15.75" x14ac:dyDescent="0.25">
      <c r="F50" s="59"/>
    </row>
  </sheetData>
  <mergeCells count="2">
    <mergeCell ref="A1:I1"/>
    <mergeCell ref="K12:N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F5" sqref="F5"/>
    </sheetView>
  </sheetViews>
  <sheetFormatPr defaultRowHeight="15" x14ac:dyDescent="0.25"/>
  <cols>
    <col min="1" max="1" width="12.28515625" customWidth="1"/>
    <col min="2" max="2" width="9.7109375" bestFit="1" customWidth="1"/>
    <col min="3" max="3" width="11.7109375" bestFit="1" customWidth="1"/>
    <col min="4" max="4" width="10.7109375" bestFit="1" customWidth="1"/>
    <col min="5" max="7" width="15.140625" style="50" customWidth="1"/>
    <col min="8" max="8" width="12.5703125" customWidth="1"/>
    <col min="9" max="9" width="10.7109375" bestFit="1" customWidth="1"/>
    <col min="10" max="10" width="9.7109375" bestFit="1" customWidth="1"/>
    <col min="11" max="11" width="14.85546875" bestFit="1" customWidth="1"/>
  </cols>
  <sheetData>
    <row r="1" spans="1:11" s="52" customFormat="1" ht="30" x14ac:dyDescent="0.25">
      <c r="A1" s="54" t="s">
        <v>8</v>
      </c>
      <c r="B1" s="55" t="s">
        <v>9</v>
      </c>
      <c r="C1" s="55" t="s">
        <v>10</v>
      </c>
      <c r="D1" s="56" t="s">
        <v>12</v>
      </c>
      <c r="E1" s="57" t="s">
        <v>53</v>
      </c>
      <c r="F1" s="57" t="s">
        <v>56</v>
      </c>
      <c r="G1" s="57" t="s">
        <v>57</v>
      </c>
      <c r="H1" s="55" t="s">
        <v>54</v>
      </c>
      <c r="I1" s="55" t="s">
        <v>55</v>
      </c>
      <c r="J1" s="55" t="s">
        <v>13</v>
      </c>
    </row>
    <row r="2" spans="1:11" x14ac:dyDescent="0.25">
      <c r="A2" s="10">
        <v>9001430</v>
      </c>
      <c r="B2" s="11">
        <v>40232</v>
      </c>
      <c r="C2" s="51">
        <v>3000000</v>
      </c>
      <c r="D2" s="48">
        <v>40514</v>
      </c>
      <c r="E2" s="51">
        <v>3000000</v>
      </c>
      <c r="F2" s="51">
        <v>-1769183</v>
      </c>
      <c r="G2" s="51">
        <f>E2+F2</f>
        <v>1230817</v>
      </c>
      <c r="H2" s="48">
        <v>40543</v>
      </c>
      <c r="I2" s="48">
        <v>40564</v>
      </c>
      <c r="J2" s="48">
        <v>40599</v>
      </c>
    </row>
    <row r="3" spans="1:11" x14ac:dyDescent="0.25">
      <c r="A3" s="10"/>
      <c r="B3" s="11"/>
      <c r="C3" s="51"/>
      <c r="D3" s="48"/>
      <c r="E3" s="51"/>
      <c r="F3" s="51"/>
      <c r="G3" s="51"/>
      <c r="H3" s="48"/>
      <c r="I3" s="48"/>
      <c r="J3" s="48"/>
    </row>
    <row r="4" spans="1:11" x14ac:dyDescent="0.25">
      <c r="A4">
        <v>9001430.0099999998</v>
      </c>
      <c r="B4" s="48">
        <v>40855</v>
      </c>
      <c r="C4" s="51">
        <v>3000000</v>
      </c>
      <c r="D4" s="48">
        <v>40887</v>
      </c>
      <c r="E4" s="51">
        <f>SUM(E2:E2)</f>
        <v>3000000</v>
      </c>
      <c r="F4" s="51">
        <v>0</v>
      </c>
      <c r="G4" s="50">
        <f>G2+E4</f>
        <v>4230817</v>
      </c>
      <c r="H4" s="48">
        <v>40724</v>
      </c>
      <c r="I4" s="48">
        <v>40739</v>
      </c>
      <c r="J4" s="48">
        <v>40752</v>
      </c>
    </row>
    <row r="5" spans="1:11" x14ac:dyDescent="0.25">
      <c r="C5" s="51"/>
      <c r="E5" s="51"/>
      <c r="F5" s="51">
        <v>-4208383</v>
      </c>
      <c r="G5" s="50">
        <f t="shared" ref="G5" si="0">G4+E5</f>
        <v>4230817</v>
      </c>
      <c r="H5" s="48">
        <v>40908</v>
      </c>
      <c r="I5" s="48">
        <v>40924</v>
      </c>
      <c r="J5" s="64">
        <v>40954</v>
      </c>
    </row>
    <row r="6" spans="1:11" x14ac:dyDescent="0.25">
      <c r="C6" s="51"/>
      <c r="E6" s="51"/>
      <c r="F6" s="51">
        <v>-17566</v>
      </c>
      <c r="G6" s="50">
        <f>G5+F6</f>
        <v>4213251</v>
      </c>
      <c r="H6" s="48">
        <v>41090</v>
      </c>
      <c r="I6" s="48">
        <v>41102</v>
      </c>
    </row>
    <row r="7" spans="1:11" x14ac:dyDescent="0.25">
      <c r="B7" s="48"/>
      <c r="C7" s="51"/>
      <c r="D7" s="48"/>
      <c r="E7" s="51"/>
      <c r="F7" s="51"/>
      <c r="G7" s="50">
        <f>G6+F7</f>
        <v>4213251</v>
      </c>
      <c r="K7" s="48"/>
    </row>
    <row r="8" spans="1:11" x14ac:dyDescent="0.25">
      <c r="C8" s="51"/>
      <c r="E8" s="51"/>
      <c r="F8" s="51"/>
      <c r="G8" s="51"/>
      <c r="J8" s="48"/>
    </row>
    <row r="9" spans="1:11" x14ac:dyDescent="0.25">
      <c r="C9" s="51"/>
      <c r="E9" s="51"/>
      <c r="F9" s="51"/>
      <c r="G9" s="51"/>
    </row>
    <row r="10" spans="1:11" x14ac:dyDescent="0.25">
      <c r="C10" s="51"/>
      <c r="E10" s="53"/>
      <c r="F10" s="53"/>
      <c r="G10" s="53"/>
    </row>
    <row r="11" spans="1:11" x14ac:dyDescent="0.25">
      <c r="C11" s="51"/>
      <c r="E11" s="53"/>
    </row>
    <row r="12" spans="1:11" x14ac:dyDescent="0.25">
      <c r="C12" s="51"/>
      <c r="E12" s="53"/>
      <c r="F12" s="53"/>
      <c r="G12" s="53"/>
    </row>
    <row r="13" spans="1:11" x14ac:dyDescent="0.25">
      <c r="C13" s="51"/>
      <c r="E13" s="53"/>
    </row>
    <row r="14" spans="1:11" x14ac:dyDescent="0.25">
      <c r="C14" s="51"/>
    </row>
    <row r="15" spans="1:11" x14ac:dyDescent="0.25">
      <c r="C15" s="51"/>
      <c r="H15" s="48"/>
      <c r="I15" s="48"/>
    </row>
    <row r="16" spans="1:11" x14ac:dyDescent="0.25">
      <c r="C16" s="51"/>
      <c r="J16" s="48"/>
    </row>
    <row r="17" spans="3:10" x14ac:dyDescent="0.25">
      <c r="C17" s="51"/>
      <c r="H17" s="48"/>
    </row>
    <row r="18" spans="3:10" x14ac:dyDescent="0.25">
      <c r="C18" s="51"/>
    </row>
    <row r="19" spans="3:10" x14ac:dyDescent="0.25">
      <c r="C19" s="51"/>
      <c r="H19" s="48"/>
      <c r="I19" s="48"/>
    </row>
    <row r="20" spans="3:10" x14ac:dyDescent="0.25">
      <c r="C20" s="51"/>
      <c r="J20" s="48"/>
    </row>
    <row r="21" spans="3:10" x14ac:dyDescent="0.25">
      <c r="C21" s="51"/>
      <c r="H21" s="48"/>
      <c r="I21" s="48"/>
    </row>
    <row r="22" spans="3:10" x14ac:dyDescent="0.25">
      <c r="C22" s="51"/>
    </row>
    <row r="23" spans="3:10" x14ac:dyDescent="0.25">
      <c r="C23" s="51"/>
    </row>
    <row r="24" spans="3:10" x14ac:dyDescent="0.25">
      <c r="C24" s="51"/>
    </row>
    <row r="25" spans="3:10" x14ac:dyDescent="0.25">
      <c r="C25" s="51"/>
    </row>
    <row r="26" spans="3:10" x14ac:dyDescent="0.25">
      <c r="C26" s="51"/>
    </row>
    <row r="27" spans="3:10" x14ac:dyDescent="0.25">
      <c r="C27" s="51"/>
    </row>
    <row r="28" spans="3:10" x14ac:dyDescent="0.25">
      <c r="C28" s="51"/>
    </row>
    <row r="29" spans="3:10" x14ac:dyDescent="0.25">
      <c r="C29" s="51"/>
    </row>
    <row r="30" spans="3:10" x14ac:dyDescent="0.25">
      <c r="C30" s="51"/>
    </row>
    <row r="31" spans="3:10" x14ac:dyDescent="0.25">
      <c r="C31" s="51"/>
    </row>
    <row r="32" spans="3:10" x14ac:dyDescent="0.25">
      <c r="C32" s="51"/>
    </row>
    <row r="33" spans="3:3" x14ac:dyDescent="0.25">
      <c r="C33" s="51"/>
    </row>
    <row r="34" spans="3:3" x14ac:dyDescent="0.25">
      <c r="C34" s="51"/>
    </row>
    <row r="35" spans="3:3" x14ac:dyDescent="0.25">
      <c r="C35" s="51"/>
    </row>
    <row r="36" spans="3:3" x14ac:dyDescent="0.25">
      <c r="C36" s="51"/>
    </row>
    <row r="37" spans="3:3" x14ac:dyDescent="0.25">
      <c r="C37" s="51"/>
    </row>
    <row r="38" spans="3:3" x14ac:dyDescent="0.25">
      <c r="C38" s="51"/>
    </row>
    <row r="39" spans="3:3" x14ac:dyDescent="0.25">
      <c r="C39" s="51"/>
    </row>
    <row r="40" spans="3:3" x14ac:dyDescent="0.25">
      <c r="C40" s="51"/>
    </row>
    <row r="41" spans="3:3" x14ac:dyDescent="0.25">
      <c r="C41" s="5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4" activeCellId="1" sqref="E4 G4"/>
    </sheetView>
  </sheetViews>
  <sheetFormatPr defaultRowHeight="15" x14ac:dyDescent="0.25"/>
  <cols>
    <col min="1" max="2" width="10.7109375" bestFit="1" customWidth="1"/>
    <col min="3" max="4" width="11.7109375" style="50" bestFit="1" customWidth="1"/>
    <col min="5" max="5" width="12.42578125" style="50" bestFit="1" customWidth="1"/>
    <col min="6" max="6" width="11.7109375" bestFit="1" customWidth="1"/>
    <col min="7" max="7" width="9.85546875" bestFit="1" customWidth="1"/>
  </cols>
  <sheetData>
    <row r="1" spans="1:7" x14ac:dyDescent="0.25">
      <c r="A1" s="52" t="s">
        <v>81</v>
      </c>
    </row>
    <row r="2" spans="1:7" ht="15.75" x14ac:dyDescent="0.25">
      <c r="C2" s="69" t="s">
        <v>79</v>
      </c>
      <c r="D2" s="69" t="s">
        <v>80</v>
      </c>
    </row>
    <row r="3" spans="1:7" x14ac:dyDescent="0.25">
      <c r="F3" t="s">
        <v>87</v>
      </c>
    </row>
    <row r="4" spans="1:7" x14ac:dyDescent="0.25">
      <c r="A4" s="48">
        <v>39119</v>
      </c>
      <c r="B4" s="48">
        <v>39082</v>
      </c>
      <c r="C4" s="50">
        <v>1090900.2</v>
      </c>
      <c r="D4" s="50">
        <v>3409099.8</v>
      </c>
      <c r="E4" s="50">
        <v>-1309746</v>
      </c>
      <c r="F4" s="50">
        <f>SUM(D4:E4)</f>
        <v>2099353.7999999998</v>
      </c>
      <c r="G4" s="50">
        <v>-57908</v>
      </c>
    </row>
    <row r="5" spans="1:7" x14ac:dyDescent="0.25">
      <c r="B5" s="48">
        <v>39263</v>
      </c>
      <c r="C5" s="50">
        <v>57908</v>
      </c>
      <c r="D5" s="50">
        <v>2219118</v>
      </c>
    </row>
    <row r="6" spans="1:7" x14ac:dyDescent="0.25">
      <c r="A6" s="48">
        <v>39607</v>
      </c>
      <c r="B6" s="48">
        <v>39447</v>
      </c>
      <c r="D6" s="50">
        <v>1158976</v>
      </c>
    </row>
    <row r="7" spans="1:7" x14ac:dyDescent="0.25">
      <c r="B7" s="48">
        <v>39629</v>
      </c>
      <c r="D7" s="50">
        <v>2831744</v>
      </c>
      <c r="E7" s="50" t="s">
        <v>83</v>
      </c>
    </row>
    <row r="8" spans="1:7" x14ac:dyDescent="0.25">
      <c r="A8" s="48">
        <v>39748</v>
      </c>
      <c r="B8" s="48">
        <v>39629</v>
      </c>
      <c r="D8" s="50">
        <v>2397013</v>
      </c>
    </row>
    <row r="9" spans="1:7" x14ac:dyDescent="0.25">
      <c r="A9" s="48">
        <v>39119</v>
      </c>
      <c r="B9" s="48">
        <v>39081</v>
      </c>
      <c r="C9" s="50">
        <v>1090900.2</v>
      </c>
      <c r="D9" s="50">
        <v>3409099.8</v>
      </c>
      <c r="E9" s="50" t="s">
        <v>84</v>
      </c>
    </row>
    <row r="10" spans="1:7" x14ac:dyDescent="0.25">
      <c r="B10" s="48">
        <v>39263</v>
      </c>
      <c r="C10" s="50">
        <v>1169982</v>
      </c>
      <c r="D10" s="50">
        <v>2219118</v>
      </c>
    </row>
    <row r="11" spans="1:7" x14ac:dyDescent="0.25">
      <c r="B11" s="48">
        <v>39447</v>
      </c>
      <c r="D11" s="50">
        <v>2831744</v>
      </c>
    </row>
    <row r="13" spans="1:7" x14ac:dyDescent="0.25">
      <c r="A13" s="52" t="s">
        <v>82</v>
      </c>
    </row>
    <row r="14" spans="1:7" x14ac:dyDescent="0.25">
      <c r="A14" s="48">
        <v>39119</v>
      </c>
      <c r="B14" s="48">
        <v>39082</v>
      </c>
      <c r="C14" s="50">
        <v>1090900.2</v>
      </c>
    </row>
    <row r="15" spans="1:7" x14ac:dyDescent="0.25">
      <c r="A15" s="48">
        <v>39332</v>
      </c>
      <c r="B15" s="48">
        <v>39263</v>
      </c>
      <c r="C15" s="50">
        <v>1169982</v>
      </c>
    </row>
    <row r="16" spans="1:7" x14ac:dyDescent="0.25">
      <c r="A16" s="48">
        <v>39608</v>
      </c>
      <c r="B16" s="48">
        <v>39447</v>
      </c>
      <c r="C16" s="50">
        <v>3341024</v>
      </c>
      <c r="D16" s="66" t="s">
        <v>88</v>
      </c>
      <c r="E16" s="50">
        <v>168256</v>
      </c>
    </row>
    <row r="17" spans="1:5" x14ac:dyDescent="0.25">
      <c r="A17" s="48">
        <v>39749</v>
      </c>
      <c r="B17" s="48">
        <v>39629</v>
      </c>
      <c r="C17" s="50">
        <v>5102987</v>
      </c>
      <c r="D17" s="50">
        <v>2397013</v>
      </c>
      <c r="E17" s="50" t="s">
        <v>86</v>
      </c>
    </row>
    <row r="19" spans="1:5" x14ac:dyDescent="0.25">
      <c r="A19" t="s">
        <v>85</v>
      </c>
    </row>
    <row r="20" spans="1:5" x14ac:dyDescent="0.25">
      <c r="A20" t="s">
        <v>84</v>
      </c>
      <c r="B20" s="48">
        <v>39447</v>
      </c>
      <c r="C20" s="50">
        <v>3341024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topLeftCell="B1" zoomScaleNormal="100" workbookViewId="0">
      <selection activeCell="O29" sqref="O29"/>
    </sheetView>
  </sheetViews>
  <sheetFormatPr defaultRowHeight="15" x14ac:dyDescent="0.25"/>
  <cols>
    <col min="1" max="1" width="30.5703125" bestFit="1" customWidth="1"/>
    <col min="2" max="2" width="11.85546875" bestFit="1" customWidth="1"/>
    <col min="3" max="3" width="13.28515625" bestFit="1" customWidth="1"/>
    <col min="4" max="4" width="1.85546875" style="141" bestFit="1" customWidth="1"/>
    <col min="5" max="5" width="11.5703125" customWidth="1"/>
    <col min="6" max="6" width="4" style="143" bestFit="1" customWidth="1"/>
    <col min="7" max="7" width="1.7109375" customWidth="1"/>
    <col min="8" max="8" width="4" style="143" bestFit="1" customWidth="1"/>
    <col min="9" max="9" width="20.140625" bestFit="1" customWidth="1"/>
    <col min="10" max="10" width="13.7109375" bestFit="1" customWidth="1"/>
    <col min="11" max="11" width="20.42578125" bestFit="1" customWidth="1"/>
    <col min="12" max="12" width="15" bestFit="1" customWidth="1"/>
    <col min="13" max="13" width="5.28515625" style="143" bestFit="1" customWidth="1"/>
    <col min="14" max="14" width="15.28515625" bestFit="1" customWidth="1"/>
    <col min="15" max="15" width="20.5703125" bestFit="1" customWidth="1"/>
    <col min="16" max="16" width="13.5703125" bestFit="1" customWidth="1"/>
    <col min="17" max="17" width="15.5703125" bestFit="1" customWidth="1"/>
    <col min="18" max="18" width="12.42578125" bestFit="1" customWidth="1"/>
    <col min="19" max="19" width="4" style="143" bestFit="1" customWidth="1"/>
    <col min="20" max="20" width="10.7109375" bestFit="1" customWidth="1"/>
  </cols>
  <sheetData>
    <row r="1" spans="1:20" x14ac:dyDescent="0.25">
      <c r="A1" s="113"/>
      <c r="B1" s="187" t="s">
        <v>193</v>
      </c>
      <c r="C1" s="187"/>
      <c r="D1" s="140"/>
      <c r="E1" s="113"/>
      <c r="F1" s="142"/>
      <c r="G1" s="113"/>
      <c r="H1" s="142"/>
      <c r="I1" s="48"/>
      <c r="J1" s="144" t="s">
        <v>134</v>
      </c>
      <c r="K1" s="50"/>
      <c r="L1" s="145" t="s">
        <v>184</v>
      </c>
      <c r="M1" s="142"/>
      <c r="N1" s="145" t="s">
        <v>185</v>
      </c>
      <c r="O1" s="155" t="s">
        <v>200</v>
      </c>
      <c r="P1" s="145" t="s">
        <v>201</v>
      </c>
      <c r="Q1" s="50"/>
      <c r="R1" s="50"/>
      <c r="S1" s="142"/>
      <c r="T1" s="113"/>
    </row>
    <row r="2" spans="1:20" x14ac:dyDescent="0.25">
      <c r="A2" s="113"/>
      <c r="B2" s="157" t="s">
        <v>194</v>
      </c>
      <c r="C2" s="157" t="s">
        <v>64</v>
      </c>
      <c r="D2" s="140"/>
      <c r="E2" s="113"/>
      <c r="F2" s="142"/>
      <c r="G2" s="113"/>
      <c r="H2" s="142"/>
      <c r="I2" s="12">
        <v>38708</v>
      </c>
      <c r="J2" s="51">
        <v>1500000</v>
      </c>
      <c r="K2" s="51"/>
      <c r="L2" s="51"/>
      <c r="M2" s="142"/>
      <c r="N2" s="148" t="s">
        <v>208</v>
      </c>
      <c r="O2" s="50"/>
      <c r="P2" s="148" t="s">
        <v>209</v>
      </c>
      <c r="Q2" s="79"/>
      <c r="R2" s="51"/>
      <c r="S2" s="142"/>
      <c r="T2" s="113"/>
    </row>
    <row r="3" spans="1:20" x14ac:dyDescent="0.25">
      <c r="A3" s="113" t="s">
        <v>160</v>
      </c>
      <c r="B3" s="113">
        <v>-1090900</v>
      </c>
      <c r="C3" s="113">
        <v>-1090900</v>
      </c>
      <c r="D3" s="140">
        <v>1</v>
      </c>
      <c r="E3" s="113"/>
      <c r="F3" s="142"/>
      <c r="G3" s="113"/>
      <c r="H3" s="142"/>
      <c r="I3" s="12">
        <v>39059</v>
      </c>
      <c r="J3" s="51">
        <v>3000000</v>
      </c>
      <c r="K3" s="51"/>
      <c r="L3" s="51"/>
      <c r="M3" s="142"/>
      <c r="N3" s="51">
        <v>3000000</v>
      </c>
      <c r="O3" s="50"/>
      <c r="P3" s="51">
        <v>7500000</v>
      </c>
      <c r="Q3" s="79"/>
      <c r="R3" s="51"/>
      <c r="S3" s="142"/>
      <c r="T3" s="113"/>
    </row>
    <row r="4" spans="1:20" x14ac:dyDescent="0.25">
      <c r="A4" s="113" t="s">
        <v>162</v>
      </c>
      <c r="B4" s="113">
        <f>-1169982+1090900</f>
        <v>-79082</v>
      </c>
      <c r="C4" s="113"/>
      <c r="D4" s="140"/>
      <c r="E4" s="113"/>
      <c r="F4" s="142"/>
      <c r="G4" s="113"/>
      <c r="H4" s="142"/>
      <c r="I4" s="12" t="s">
        <v>206</v>
      </c>
      <c r="J4" s="108">
        <f>SUM(J2:J3)</f>
        <v>4500000</v>
      </c>
      <c r="K4" s="80" t="s">
        <v>186</v>
      </c>
      <c r="L4" s="51">
        <v>-1090900</v>
      </c>
      <c r="M4" s="142">
        <v>7</v>
      </c>
      <c r="N4" s="80" t="s">
        <v>91</v>
      </c>
      <c r="O4" s="51">
        <f>J4+L4</f>
        <v>3409100</v>
      </c>
      <c r="Q4" s="79" t="s">
        <v>210</v>
      </c>
      <c r="R4" s="51"/>
      <c r="S4" s="142">
        <v>12</v>
      </c>
      <c r="T4" s="113"/>
    </row>
    <row r="5" spans="1:20" x14ac:dyDescent="0.25">
      <c r="A5" s="113" t="s">
        <v>161</v>
      </c>
      <c r="B5" s="113"/>
      <c r="C5" s="113">
        <v>-1169982</v>
      </c>
      <c r="D5" s="140">
        <v>2</v>
      </c>
      <c r="E5" s="113"/>
      <c r="F5" s="142"/>
      <c r="G5" s="113"/>
      <c r="H5" s="142">
        <v>13</v>
      </c>
      <c r="I5" s="12"/>
      <c r="J5" s="107">
        <v>-3341024</v>
      </c>
      <c r="K5" s="118" t="s">
        <v>168</v>
      </c>
      <c r="L5" s="160">
        <f>1090900-1169982</f>
        <v>-79082</v>
      </c>
      <c r="M5" s="142"/>
      <c r="N5" s="51"/>
      <c r="O5" s="51">
        <f>O4+L5</f>
        <v>3330018</v>
      </c>
      <c r="P5" s="51"/>
      <c r="Q5" s="79" t="s">
        <v>107</v>
      </c>
      <c r="R5" s="51"/>
      <c r="S5" s="142"/>
      <c r="T5" s="113"/>
    </row>
    <row r="6" spans="1:20" ht="15.75" thickBot="1" x14ac:dyDescent="0.3">
      <c r="A6" s="113" t="s">
        <v>164</v>
      </c>
      <c r="B6" s="114">
        <f>79082+1090900-3341024</f>
        <v>-2171042</v>
      </c>
      <c r="C6" s="113"/>
      <c r="D6" s="140"/>
      <c r="E6" s="113"/>
      <c r="F6" s="142"/>
      <c r="G6" s="113"/>
      <c r="H6" s="142">
        <v>13</v>
      </c>
      <c r="I6" s="12" t="s">
        <v>207</v>
      </c>
      <c r="J6" s="51"/>
      <c r="K6" s="119" t="s">
        <v>183</v>
      </c>
      <c r="L6" s="50">
        <f>-3341024+1169982</f>
        <v>-2171042</v>
      </c>
      <c r="M6" s="142">
        <v>3</v>
      </c>
      <c r="O6" s="120">
        <f>O5+L6</f>
        <v>1158976</v>
      </c>
      <c r="P6" s="126">
        <v>-3509280</v>
      </c>
      <c r="Q6" s="146"/>
      <c r="R6" s="51"/>
      <c r="S6" s="142" t="s">
        <v>216</v>
      </c>
      <c r="T6" s="113"/>
    </row>
    <row r="7" spans="1:20" ht="15.75" thickBot="1" x14ac:dyDescent="0.3">
      <c r="A7" s="113" t="s">
        <v>163</v>
      </c>
      <c r="B7" s="115">
        <f>SUM(B3:B6)</f>
        <v>-3341024</v>
      </c>
      <c r="C7" s="116">
        <v>-3341024</v>
      </c>
      <c r="D7" s="140">
        <v>3</v>
      </c>
      <c r="E7" s="113">
        <v>-3341024</v>
      </c>
      <c r="F7" s="142">
        <v>13</v>
      </c>
      <c r="G7" s="113"/>
      <c r="H7" s="142"/>
      <c r="I7" s="12"/>
      <c r="J7" s="102">
        <v>3341024</v>
      </c>
      <c r="K7" s="102" t="s">
        <v>171</v>
      </c>
      <c r="L7" s="149">
        <f>SUM(L4:L6)</f>
        <v>-3341024</v>
      </c>
      <c r="M7" s="142" t="s">
        <v>189</v>
      </c>
      <c r="N7" s="150">
        <v>-168256</v>
      </c>
      <c r="O7" s="121"/>
      <c r="P7" s="147">
        <f>SUM(P3:P6)</f>
        <v>3990720</v>
      </c>
      <c r="Q7" s="79" t="s">
        <v>211</v>
      </c>
      <c r="R7" s="51"/>
      <c r="S7" s="142">
        <v>14</v>
      </c>
      <c r="T7" s="113"/>
    </row>
    <row r="8" spans="1:20" ht="15.75" thickBot="1" x14ac:dyDescent="0.3">
      <c r="A8" s="113" t="s">
        <v>167</v>
      </c>
      <c r="C8" s="113"/>
      <c r="D8" s="140">
        <v>4</v>
      </c>
      <c r="E8" s="116">
        <v>-168256</v>
      </c>
      <c r="F8" s="142">
        <v>10</v>
      </c>
      <c r="G8" s="113"/>
      <c r="H8" s="142"/>
      <c r="I8" s="12"/>
      <c r="J8" s="102"/>
      <c r="K8" s="102" t="s">
        <v>170</v>
      </c>
      <c r="L8" s="124">
        <f>4500000-3341024</f>
        <v>1158976</v>
      </c>
      <c r="M8" s="142" t="s">
        <v>186</v>
      </c>
      <c r="N8" s="122">
        <f>SUM(N3:N7)</f>
        <v>2831744</v>
      </c>
      <c r="O8" s="122">
        <v>3990720</v>
      </c>
      <c r="P8" s="151">
        <v>-1593707</v>
      </c>
      <c r="Q8" s="50" t="s">
        <v>212</v>
      </c>
      <c r="R8" s="51"/>
      <c r="S8" s="142" t="s">
        <v>190</v>
      </c>
      <c r="T8" s="113"/>
    </row>
    <row r="9" spans="1:20" ht="15.75" x14ac:dyDescent="0.25">
      <c r="A9" s="113" t="s">
        <v>166</v>
      </c>
      <c r="B9" s="113"/>
      <c r="C9" s="113"/>
      <c r="D9" s="140" t="s">
        <v>187</v>
      </c>
      <c r="E9" s="113">
        <f>SUM(E7:E8)</f>
        <v>-3509280</v>
      </c>
      <c r="F9" s="142"/>
      <c r="G9" s="113"/>
      <c r="H9" s="142"/>
      <c r="I9" s="12"/>
      <c r="J9" s="102"/>
      <c r="K9" s="102"/>
      <c r="L9" s="124">
        <f>4500000-3341024</f>
        <v>1158976</v>
      </c>
      <c r="M9" s="142">
        <v>13</v>
      </c>
      <c r="N9" s="122"/>
      <c r="P9" s="153">
        <f>SUM(P7:P8)</f>
        <v>2397013</v>
      </c>
      <c r="Q9" s="72" t="s">
        <v>169</v>
      </c>
      <c r="R9" s="51"/>
      <c r="S9" s="142" t="s">
        <v>213</v>
      </c>
      <c r="T9" s="113"/>
    </row>
    <row r="10" spans="1:20" ht="15.75" thickBot="1" x14ac:dyDescent="0.3">
      <c r="A10" s="113"/>
      <c r="B10" s="113"/>
      <c r="C10" s="113"/>
      <c r="D10" s="140">
        <v>6</v>
      </c>
      <c r="E10" s="116">
        <f>-5102987+3509280</f>
        <v>-1593707</v>
      </c>
      <c r="F10" s="142" t="s">
        <v>190</v>
      </c>
      <c r="G10" s="113"/>
      <c r="H10" s="142"/>
      <c r="I10" s="12"/>
      <c r="J10" s="102"/>
      <c r="K10" s="102"/>
      <c r="L10" s="50"/>
      <c r="M10" s="142"/>
      <c r="N10" s="50"/>
      <c r="O10" s="51"/>
      <c r="P10" s="152">
        <v>-5102987</v>
      </c>
      <c r="Q10" s="123" t="s">
        <v>205</v>
      </c>
      <c r="R10" s="51"/>
      <c r="S10" s="142">
        <v>14</v>
      </c>
      <c r="T10" s="113"/>
    </row>
    <row r="11" spans="1:20" x14ac:dyDescent="0.25">
      <c r="A11" s="113" t="s">
        <v>165</v>
      </c>
      <c r="B11" s="113"/>
      <c r="C11" s="113"/>
      <c r="D11" s="140">
        <v>5</v>
      </c>
      <c r="E11" s="113">
        <f>SUM(E9:E10)</f>
        <v>-5102987</v>
      </c>
      <c r="F11" s="142">
        <v>10</v>
      </c>
      <c r="G11" s="113"/>
      <c r="H11" s="142">
        <v>10</v>
      </c>
      <c r="I11" s="48">
        <v>39429</v>
      </c>
      <c r="J11" s="51">
        <v>3000000</v>
      </c>
      <c r="K11" s="51">
        <v>1090900</v>
      </c>
      <c r="L11" s="50"/>
      <c r="M11" s="142"/>
      <c r="N11" s="50"/>
      <c r="O11" s="50"/>
      <c r="P11" s="51"/>
      <c r="Q11" s="79"/>
      <c r="R11" s="51"/>
      <c r="S11" s="142"/>
      <c r="T11" s="113"/>
    </row>
    <row r="12" spans="1:20" x14ac:dyDescent="0.25">
      <c r="A12" s="139" t="s">
        <v>192</v>
      </c>
      <c r="B12" s="113"/>
      <c r="C12" s="50">
        <v>2397013</v>
      </c>
      <c r="D12" s="140"/>
      <c r="E12" s="113">
        <v>-2397013</v>
      </c>
      <c r="F12" s="142">
        <v>10</v>
      </c>
      <c r="G12" s="113"/>
      <c r="H12" s="142" t="s">
        <v>215</v>
      </c>
      <c r="I12" s="48"/>
      <c r="J12" s="51">
        <v>-168256</v>
      </c>
      <c r="K12" s="51">
        <v>1169982</v>
      </c>
      <c r="L12" s="50"/>
      <c r="M12" s="142">
        <v>10</v>
      </c>
      <c r="N12" s="134"/>
      <c r="O12" s="134" t="s">
        <v>180</v>
      </c>
      <c r="P12" s="154">
        <v>2397013</v>
      </c>
      <c r="Q12" s="50"/>
      <c r="R12" s="50"/>
      <c r="S12" s="159" t="s">
        <v>190</v>
      </c>
      <c r="T12" s="113"/>
    </row>
    <row r="13" spans="1:20" x14ac:dyDescent="0.25">
      <c r="A13" s="113" t="s">
        <v>191</v>
      </c>
      <c r="B13" s="113"/>
      <c r="C13" s="113"/>
      <c r="D13" s="140"/>
      <c r="E13" s="130">
        <f>SUM(E11:E12)</f>
        <v>-7500000</v>
      </c>
      <c r="F13" s="142">
        <v>10</v>
      </c>
      <c r="G13" s="113"/>
      <c r="H13" s="142">
        <v>13</v>
      </c>
      <c r="I13" s="48"/>
      <c r="J13" s="87">
        <f>SUM(J11:J12)</f>
        <v>2831744</v>
      </c>
      <c r="K13" s="107">
        <f>SUM(K11:K12)</f>
        <v>2260882</v>
      </c>
      <c r="L13" s="50"/>
      <c r="M13" s="142"/>
      <c r="N13" s="134"/>
      <c r="O13" s="134" t="s">
        <v>181</v>
      </c>
      <c r="P13" s="113">
        <f>-2809501+1593706</f>
        <v>-1215795</v>
      </c>
      <c r="Q13" s="50"/>
      <c r="R13" s="125" t="s">
        <v>172</v>
      </c>
      <c r="S13" s="142"/>
      <c r="T13" s="113"/>
    </row>
    <row r="14" spans="1:20" x14ac:dyDescent="0.25">
      <c r="A14" s="113"/>
      <c r="B14" s="113"/>
      <c r="C14" s="113"/>
      <c r="D14" s="140"/>
      <c r="E14" s="113"/>
      <c r="F14" s="142"/>
      <c r="G14" s="113"/>
      <c r="H14" s="142"/>
      <c r="I14" s="48"/>
      <c r="J14" s="50" t="s">
        <v>129</v>
      </c>
      <c r="K14" s="50"/>
      <c r="L14" s="50"/>
      <c r="M14" s="142"/>
      <c r="N14" s="113"/>
      <c r="O14" s="113" t="s">
        <v>217</v>
      </c>
      <c r="P14" s="130">
        <f>SUM(P12:P13)</f>
        <v>1181218</v>
      </c>
      <c r="Q14" s="50"/>
      <c r="R14" s="156" t="s">
        <v>78</v>
      </c>
      <c r="S14" s="142"/>
      <c r="T14" s="113"/>
    </row>
    <row r="15" spans="1:20" x14ac:dyDescent="0.25">
      <c r="A15" s="113"/>
      <c r="B15" s="113"/>
      <c r="C15" s="113"/>
      <c r="D15" s="140"/>
      <c r="E15" s="113"/>
      <c r="F15" s="142"/>
      <c r="G15" s="113"/>
      <c r="H15" s="142"/>
      <c r="I15" s="48"/>
      <c r="J15" s="50">
        <v>4500000</v>
      </c>
      <c r="K15" s="50"/>
      <c r="L15" s="50"/>
      <c r="M15" s="142"/>
      <c r="N15" s="113"/>
      <c r="O15" s="113" t="s">
        <v>203</v>
      </c>
      <c r="P15" s="113">
        <v>6000000</v>
      </c>
      <c r="Q15" s="66" t="s">
        <v>173</v>
      </c>
      <c r="R15" s="50">
        <v>168256</v>
      </c>
      <c r="S15" s="142"/>
      <c r="T15" s="113"/>
    </row>
    <row r="16" spans="1:20" x14ac:dyDescent="0.25">
      <c r="A16" s="113"/>
      <c r="B16" s="113"/>
      <c r="C16" s="113"/>
      <c r="D16" s="140"/>
      <c r="E16" s="113"/>
      <c r="F16" s="142"/>
      <c r="G16" s="113"/>
      <c r="H16" s="142"/>
      <c r="I16" s="48"/>
      <c r="J16" s="50"/>
      <c r="K16" s="50"/>
      <c r="L16" s="50"/>
      <c r="M16" s="142"/>
      <c r="N16" s="113"/>
      <c r="O16" s="113" t="s">
        <v>204</v>
      </c>
      <c r="P16" s="130">
        <f>SUM(P14:P15)</f>
        <v>7181218</v>
      </c>
      <c r="Q16" s="66" t="s">
        <v>84</v>
      </c>
      <c r="R16" s="50">
        <v>3341024</v>
      </c>
      <c r="S16" s="142"/>
      <c r="T16" s="113"/>
    </row>
    <row r="17" spans="1:26" x14ac:dyDescent="0.25">
      <c r="A17" s="113"/>
      <c r="B17" s="113"/>
      <c r="C17" s="113"/>
      <c r="D17" s="140"/>
      <c r="E17" s="113"/>
      <c r="F17" s="142"/>
      <c r="G17" s="113"/>
      <c r="H17" s="142"/>
      <c r="I17" s="189" t="s">
        <v>193</v>
      </c>
      <c r="J17" s="189"/>
      <c r="K17" s="50"/>
      <c r="L17" s="50"/>
      <c r="M17" s="142"/>
      <c r="N17" s="137"/>
      <c r="O17" s="131" t="s">
        <v>176</v>
      </c>
      <c r="P17" s="113">
        <v>-1729322</v>
      </c>
      <c r="Q17" s="66" t="s">
        <v>86</v>
      </c>
      <c r="R17" s="127">
        <f>SUM(R15:R16)</f>
        <v>3509280</v>
      </c>
      <c r="S17" s="142" t="s">
        <v>187</v>
      </c>
      <c r="T17" s="113"/>
    </row>
    <row r="18" spans="1:26" x14ac:dyDescent="0.25">
      <c r="A18" s="113"/>
      <c r="B18" s="113"/>
      <c r="C18" s="113"/>
      <c r="D18" s="140"/>
      <c r="E18" s="113"/>
      <c r="F18" s="142"/>
      <c r="G18" s="113"/>
      <c r="H18" s="142">
        <v>1</v>
      </c>
      <c r="I18" s="158" t="s">
        <v>198</v>
      </c>
      <c r="J18" s="50">
        <v>1090900</v>
      </c>
      <c r="K18" s="50"/>
      <c r="L18" s="50"/>
      <c r="M18" s="142"/>
      <c r="N18" s="137"/>
      <c r="O18" s="131" t="s">
        <v>177</v>
      </c>
      <c r="P18" s="133">
        <f>SUM(P16:P17)</f>
        <v>5451896</v>
      </c>
      <c r="Q18" s="50"/>
      <c r="S18" s="142">
        <v>11</v>
      </c>
      <c r="T18" s="113"/>
    </row>
    <row r="19" spans="1:26" x14ac:dyDescent="0.25">
      <c r="A19" s="113"/>
      <c r="B19" s="113"/>
      <c r="C19" s="113"/>
      <c r="D19" s="140"/>
      <c r="E19" s="113"/>
      <c r="F19" s="142"/>
      <c r="G19" s="113"/>
      <c r="H19" s="142">
        <v>13</v>
      </c>
      <c r="I19" s="48" t="s">
        <v>195</v>
      </c>
      <c r="J19" s="50">
        <v>2250154</v>
      </c>
      <c r="K19" s="50"/>
      <c r="L19" s="50"/>
      <c r="M19" s="142"/>
      <c r="N19" s="8"/>
      <c r="O19" s="117" t="s">
        <v>178</v>
      </c>
      <c r="P19" s="132">
        <v>-2179455</v>
      </c>
      <c r="Q19" s="186">
        <f>P19+P20</f>
        <v>-2854455</v>
      </c>
      <c r="S19" s="142"/>
      <c r="T19" s="113"/>
    </row>
    <row r="20" spans="1:26" x14ac:dyDescent="0.25">
      <c r="A20" s="113"/>
      <c r="B20" s="113"/>
      <c r="C20" s="113"/>
      <c r="D20" s="140"/>
      <c r="E20" s="113"/>
      <c r="F20" s="142"/>
      <c r="G20" s="113"/>
      <c r="H20" s="142" t="s">
        <v>214</v>
      </c>
      <c r="I20" s="128" t="s">
        <v>197</v>
      </c>
      <c r="J20" s="98">
        <f>SUM(J18:J19)</f>
        <v>3341054</v>
      </c>
      <c r="K20" s="50"/>
      <c r="L20" s="50"/>
      <c r="M20" s="142"/>
      <c r="N20" s="8"/>
      <c r="O20" s="117" t="s">
        <v>179</v>
      </c>
      <c r="P20" s="132">
        <v>-675000</v>
      </c>
      <c r="Q20" s="186"/>
      <c r="S20" s="142"/>
      <c r="T20" s="113"/>
    </row>
    <row r="21" spans="1:26" x14ac:dyDescent="0.25">
      <c r="A21" s="113"/>
      <c r="B21" s="113"/>
      <c r="C21" s="113"/>
      <c r="D21" s="140"/>
      <c r="E21" s="113"/>
      <c r="F21" s="142"/>
      <c r="G21" s="113"/>
      <c r="H21" s="142">
        <v>6</v>
      </c>
      <c r="I21" s="48" t="s">
        <v>196</v>
      </c>
      <c r="J21" s="50">
        <v>1593707</v>
      </c>
      <c r="K21" s="50">
        <v>7500000</v>
      </c>
      <c r="L21" s="50" t="s">
        <v>174</v>
      </c>
      <c r="M21" s="142"/>
      <c r="N21" s="8"/>
      <c r="O21" s="10" t="s">
        <v>175</v>
      </c>
      <c r="P21" s="133">
        <f>SUM(P18:P20)</f>
        <v>2597441</v>
      </c>
      <c r="S21" s="142"/>
      <c r="T21" s="113"/>
    </row>
    <row r="22" spans="1:26" x14ac:dyDescent="0.25">
      <c r="A22" s="113"/>
      <c r="B22" s="113"/>
      <c r="C22" s="113"/>
      <c r="D22" s="140"/>
      <c r="E22" s="113"/>
      <c r="F22" s="142"/>
      <c r="G22" s="113"/>
      <c r="H22" s="142"/>
      <c r="I22" s="128" t="s">
        <v>64</v>
      </c>
      <c r="J22" s="98">
        <f>SUM(J20:J21)</f>
        <v>4934761</v>
      </c>
      <c r="K22" s="50">
        <v>-4934761</v>
      </c>
      <c r="L22" s="50"/>
      <c r="M22" s="142">
        <v>11</v>
      </c>
      <c r="N22" s="8"/>
      <c r="R22" s="50"/>
      <c r="S22" s="185">
        <v>15</v>
      </c>
      <c r="T22" s="113"/>
    </row>
    <row r="23" spans="1:26" x14ac:dyDescent="0.25">
      <c r="A23" s="113"/>
      <c r="B23" s="113"/>
      <c r="C23" s="113"/>
      <c r="D23" s="140"/>
      <c r="E23" s="113"/>
      <c r="F23" s="142"/>
      <c r="G23" s="113"/>
      <c r="H23" s="142"/>
      <c r="I23" s="48"/>
      <c r="J23" s="50"/>
      <c r="K23" s="98">
        <f>SUM(K21:K22)</f>
        <v>2565239</v>
      </c>
      <c r="L23" s="50" t="s">
        <v>199</v>
      </c>
      <c r="M23" s="142">
        <v>11</v>
      </c>
      <c r="N23" s="8"/>
      <c r="O23" s="10" t="s">
        <v>182</v>
      </c>
      <c r="P23" s="138">
        <v>3000000</v>
      </c>
      <c r="Q23" s="162">
        <f>P23+P24</f>
        <v>1230827</v>
      </c>
      <c r="R23" s="50"/>
      <c r="S23" s="185"/>
      <c r="T23" s="113"/>
    </row>
    <row r="24" spans="1:26" x14ac:dyDescent="0.25">
      <c r="A24" s="113"/>
      <c r="B24" s="113"/>
      <c r="C24" s="113"/>
      <c r="D24" s="140"/>
      <c r="E24" s="113"/>
      <c r="F24" s="142"/>
      <c r="G24" s="113"/>
      <c r="H24" s="142"/>
      <c r="I24" s="48"/>
      <c r="J24" s="50"/>
      <c r="K24" s="113"/>
      <c r="L24" s="113"/>
      <c r="M24" s="142"/>
      <c r="N24" s="8"/>
      <c r="O24" s="10" t="s">
        <v>188</v>
      </c>
      <c r="P24" s="138">
        <v>-1769173</v>
      </c>
      <c r="Q24" s="163"/>
      <c r="R24" s="113"/>
      <c r="S24" s="142"/>
      <c r="T24" s="113"/>
    </row>
    <row r="25" spans="1:26" x14ac:dyDescent="0.25">
      <c r="A25" s="113"/>
      <c r="B25" s="113"/>
      <c r="C25" s="113"/>
      <c r="D25" s="140"/>
      <c r="E25" s="113"/>
      <c r="F25" s="142"/>
      <c r="G25" s="113"/>
      <c r="H25" s="142"/>
      <c r="I25" s="113"/>
      <c r="K25" s="134"/>
      <c r="L25" s="134"/>
      <c r="M25" s="142"/>
      <c r="N25" s="134"/>
      <c r="O25" s="50" t="s">
        <v>202</v>
      </c>
      <c r="P25" s="130">
        <f>SUM(P21:P24)</f>
        <v>3828268</v>
      </c>
      <c r="Q25" s="113"/>
      <c r="R25" s="53"/>
      <c r="S25" s="142"/>
      <c r="T25" s="134"/>
      <c r="U25" s="135"/>
      <c r="V25" s="135"/>
      <c r="W25" s="135"/>
      <c r="X25" s="135"/>
      <c r="Y25" s="135"/>
      <c r="Z25" s="135"/>
    </row>
    <row r="26" spans="1:26" x14ac:dyDescent="0.25">
      <c r="A26" s="113"/>
      <c r="B26" s="113"/>
      <c r="C26" s="113"/>
      <c r="D26" s="140"/>
      <c r="E26" s="113"/>
      <c r="F26" s="142"/>
      <c r="G26" s="113"/>
      <c r="I26" s="134"/>
      <c r="J26" s="134"/>
      <c r="K26" s="134"/>
      <c r="L26" s="134"/>
      <c r="R26" s="53"/>
      <c r="S26" s="142"/>
      <c r="T26" s="134"/>
      <c r="U26" s="135"/>
      <c r="V26" s="135"/>
      <c r="W26" s="135"/>
      <c r="X26" s="135"/>
      <c r="Y26" s="135"/>
      <c r="Z26" s="135"/>
    </row>
    <row r="27" spans="1:26" x14ac:dyDescent="0.25">
      <c r="A27" s="113"/>
      <c r="B27" s="113"/>
      <c r="C27" s="113"/>
      <c r="D27" s="140"/>
      <c r="E27" s="113"/>
      <c r="F27" s="142"/>
      <c r="G27" s="113"/>
      <c r="I27" s="134"/>
      <c r="J27" s="134"/>
      <c r="K27" s="188"/>
      <c r="L27" s="188"/>
      <c r="P27" s="113">
        <v>-7500000</v>
      </c>
      <c r="R27" s="53"/>
      <c r="S27" s="142"/>
      <c r="T27" s="134"/>
      <c r="U27" s="135"/>
      <c r="V27" s="135"/>
      <c r="W27" s="135"/>
      <c r="X27" s="135"/>
      <c r="Y27" s="135"/>
      <c r="Z27" s="135"/>
    </row>
    <row r="28" spans="1:26" x14ac:dyDescent="0.25">
      <c r="A28" s="113"/>
      <c r="B28" s="113"/>
      <c r="C28" s="113"/>
      <c r="D28" s="140"/>
      <c r="E28" s="113"/>
      <c r="F28" s="142"/>
      <c r="G28" s="113"/>
      <c r="I28" s="50"/>
      <c r="J28" s="50">
        <f>5102987-1158976-2831744</f>
        <v>1112267</v>
      </c>
      <c r="K28" s="158"/>
      <c r="L28" s="53"/>
      <c r="P28" s="192">
        <v>3990720</v>
      </c>
      <c r="R28" s="113"/>
      <c r="S28" s="142">
        <v>14</v>
      </c>
      <c r="T28" s="113"/>
    </row>
    <row r="29" spans="1:26" x14ac:dyDescent="0.25">
      <c r="A29" s="113"/>
      <c r="B29" s="113"/>
      <c r="C29" s="113"/>
      <c r="D29" s="140"/>
      <c r="E29" s="113"/>
      <c r="F29" s="142"/>
      <c r="G29" s="113"/>
      <c r="J29" s="50">
        <f>5102987-4500000</f>
        <v>602987</v>
      </c>
      <c r="K29" s="158"/>
      <c r="L29" s="53"/>
      <c r="N29" s="50"/>
      <c r="O29" s="50">
        <v>2179455</v>
      </c>
      <c r="P29" s="130">
        <f>SUM(P27:P28)</f>
        <v>-3509280</v>
      </c>
      <c r="Q29" s="113"/>
      <c r="R29" s="113"/>
      <c r="S29" s="142"/>
      <c r="T29" s="113"/>
    </row>
    <row r="30" spans="1:26" x14ac:dyDescent="0.25">
      <c r="A30" s="113"/>
      <c r="B30" s="113"/>
      <c r="C30" s="113"/>
      <c r="D30" s="140"/>
      <c r="E30" s="113"/>
      <c r="F30" s="142"/>
      <c r="G30" s="113"/>
      <c r="J30" s="50">
        <f>3000000-602987</f>
        <v>2397013</v>
      </c>
      <c r="K30" s="161"/>
      <c r="L30" s="53"/>
      <c r="P30" s="132">
        <v>-1181218</v>
      </c>
      <c r="Q30" s="113"/>
      <c r="R30" s="113"/>
      <c r="S30" s="142"/>
      <c r="T30" s="113"/>
    </row>
    <row r="31" spans="1:26" x14ac:dyDescent="0.25">
      <c r="A31" s="113"/>
      <c r="B31" s="113"/>
      <c r="C31" s="113"/>
      <c r="D31" s="140"/>
      <c r="E31" s="113"/>
      <c r="F31" s="142"/>
      <c r="G31" s="113"/>
      <c r="K31" s="158"/>
      <c r="L31" s="53"/>
      <c r="P31" s="113"/>
      <c r="Q31" s="137"/>
      <c r="R31" s="137"/>
      <c r="S31" s="142"/>
      <c r="T31" s="137"/>
      <c r="U31" s="8"/>
    </row>
    <row r="32" spans="1:26" x14ac:dyDescent="0.25">
      <c r="A32" s="113"/>
      <c r="B32" s="113"/>
      <c r="C32" s="113"/>
      <c r="D32" s="140"/>
      <c r="E32" s="113"/>
      <c r="F32" s="142"/>
      <c r="G32" s="113"/>
      <c r="K32" s="161"/>
      <c r="L32" s="53"/>
      <c r="Q32" s="137"/>
      <c r="R32" s="137"/>
      <c r="S32" s="142"/>
      <c r="T32" s="137"/>
    </row>
    <row r="33" spans="1:26" x14ac:dyDescent="0.25">
      <c r="A33" s="113"/>
      <c r="B33" s="113"/>
      <c r="C33" s="113"/>
      <c r="D33" s="140"/>
      <c r="E33" s="113"/>
      <c r="F33" s="142"/>
      <c r="G33" s="113"/>
      <c r="K33" s="44"/>
      <c r="L33" s="8"/>
      <c r="Q33" s="13"/>
      <c r="R33" s="6"/>
      <c r="S33" s="142"/>
      <c r="T33" s="8"/>
      <c r="U33" s="8"/>
      <c r="V33" s="44"/>
      <c r="W33" s="129"/>
      <c r="X33" s="44"/>
      <c r="Y33" s="44"/>
      <c r="Z33" s="44"/>
    </row>
    <row r="34" spans="1:26" x14ac:dyDescent="0.25">
      <c r="A34" s="113"/>
      <c r="B34" s="113"/>
      <c r="C34" s="113"/>
      <c r="D34" s="140"/>
      <c r="E34" s="113"/>
      <c r="F34" s="142"/>
      <c r="G34" s="113"/>
      <c r="L34" s="8"/>
      <c r="Q34" s="13"/>
      <c r="R34" s="6"/>
      <c r="S34" s="142"/>
      <c r="T34" s="8"/>
      <c r="U34" s="8"/>
    </row>
    <row r="35" spans="1:26" x14ac:dyDescent="0.25">
      <c r="A35" s="113"/>
      <c r="B35" s="113"/>
      <c r="C35" s="113"/>
      <c r="D35" s="140"/>
      <c r="E35" s="113"/>
      <c r="F35" s="142"/>
      <c r="G35" s="113"/>
      <c r="K35" s="19"/>
      <c r="L35" s="8"/>
      <c r="Q35" s="13"/>
      <c r="R35" s="6"/>
      <c r="S35" s="142"/>
      <c r="T35" s="8"/>
      <c r="U35" s="8"/>
    </row>
    <row r="36" spans="1:26" x14ac:dyDescent="0.25">
      <c r="A36" s="113"/>
      <c r="B36" s="113"/>
      <c r="C36" s="113"/>
      <c r="D36" s="140"/>
      <c r="E36" s="113"/>
      <c r="F36" s="142"/>
      <c r="G36" s="113"/>
      <c r="K36" s="138"/>
      <c r="Q36" s="13"/>
      <c r="R36" s="6"/>
      <c r="S36" s="142"/>
      <c r="T36" s="8"/>
      <c r="U36" s="8"/>
    </row>
    <row r="37" spans="1:26" x14ac:dyDescent="0.25">
      <c r="A37" s="113"/>
      <c r="B37" s="113"/>
      <c r="C37" s="113"/>
      <c r="D37" s="140"/>
      <c r="E37" s="113"/>
      <c r="F37" s="142"/>
      <c r="G37" s="113"/>
      <c r="I37" t="s">
        <v>218</v>
      </c>
      <c r="K37" s="132"/>
      <c r="L37" s="11"/>
      <c r="Q37" s="13"/>
      <c r="R37" s="6"/>
      <c r="S37" s="142"/>
      <c r="T37" s="8"/>
      <c r="U37" s="8"/>
    </row>
    <row r="38" spans="1:26" x14ac:dyDescent="0.25">
      <c r="A38" s="113"/>
      <c r="B38" s="113"/>
      <c r="C38" s="113"/>
      <c r="D38" s="140"/>
      <c r="E38" s="113"/>
      <c r="F38" s="142"/>
      <c r="G38" s="113"/>
      <c r="H38" s="142"/>
      <c r="I38" t="s">
        <v>219</v>
      </c>
      <c r="K38" s="132"/>
      <c r="L38" s="137"/>
      <c r="Q38" s="13"/>
      <c r="R38" s="6"/>
      <c r="S38" s="142"/>
      <c r="T38" s="8"/>
      <c r="U38" s="8"/>
    </row>
    <row r="39" spans="1:26" x14ac:dyDescent="0.25">
      <c r="A39" s="113"/>
      <c r="B39" s="113"/>
      <c r="C39" s="113"/>
      <c r="D39" s="140"/>
      <c r="E39" s="113"/>
      <c r="F39" s="142"/>
      <c r="G39" s="113"/>
      <c r="H39" s="142"/>
      <c r="I39" t="s">
        <v>220</v>
      </c>
      <c r="K39" s="11"/>
      <c r="L39" s="8"/>
      <c r="M39" s="142"/>
      <c r="N39" s="8"/>
      <c r="O39" s="11"/>
      <c r="P39" s="12"/>
      <c r="Q39" s="13"/>
      <c r="R39" s="6"/>
      <c r="S39" s="142"/>
      <c r="T39" s="8"/>
      <c r="U39" s="45"/>
    </row>
    <row r="40" spans="1:26" x14ac:dyDescent="0.25">
      <c r="A40" s="113"/>
      <c r="B40" s="113"/>
      <c r="C40" s="113"/>
      <c r="D40" s="140"/>
      <c r="E40" s="113"/>
      <c r="F40" s="142"/>
      <c r="G40" s="113"/>
      <c r="H40" s="142"/>
      <c r="I40" s="10" t="s">
        <v>221</v>
      </c>
      <c r="J40" s="10"/>
      <c r="K40" s="11"/>
      <c r="L40" s="8"/>
      <c r="M40" s="142"/>
      <c r="N40" s="8"/>
      <c r="O40" s="11"/>
      <c r="P40" s="10"/>
      <c r="Q40" s="13"/>
      <c r="R40" s="6"/>
      <c r="S40" s="142"/>
      <c r="T40" s="44"/>
      <c r="U40" s="44"/>
    </row>
    <row r="41" spans="1:26" x14ac:dyDescent="0.25">
      <c r="A41" s="113"/>
      <c r="B41" s="113"/>
      <c r="C41" s="113"/>
      <c r="D41" s="140"/>
      <c r="E41" s="113"/>
      <c r="F41" s="142"/>
      <c r="G41" s="113"/>
      <c r="H41" s="142"/>
      <c r="I41" s="136" t="s">
        <v>224</v>
      </c>
      <c r="J41" s="10"/>
      <c r="K41" s="11"/>
      <c r="L41" s="8"/>
      <c r="M41" s="142"/>
      <c r="N41" s="8"/>
      <c r="Q41" s="13"/>
      <c r="R41" s="6"/>
      <c r="S41" s="142"/>
      <c r="T41" s="44"/>
      <c r="U41" s="44"/>
      <c r="V41" s="44"/>
      <c r="W41" s="44"/>
      <c r="X41" s="44"/>
      <c r="Y41" s="44"/>
      <c r="Z41" s="44"/>
    </row>
    <row r="42" spans="1:26" x14ac:dyDescent="0.25">
      <c r="A42" s="113"/>
      <c r="B42" s="113"/>
      <c r="C42" s="113"/>
      <c r="D42" s="140"/>
      <c r="E42" s="113"/>
      <c r="F42" s="142"/>
      <c r="G42" s="113"/>
      <c r="H42" s="142"/>
      <c r="I42" s="136" t="s">
        <v>222</v>
      </c>
      <c r="J42" s="10"/>
      <c r="K42" s="113" t="s">
        <v>223</v>
      </c>
      <c r="L42" s="113"/>
      <c r="M42" s="142"/>
      <c r="N42" s="113"/>
      <c r="Q42" s="113"/>
      <c r="R42" s="113"/>
      <c r="S42" s="142"/>
      <c r="T42" s="113"/>
    </row>
    <row r="43" spans="1:26" x14ac:dyDescent="0.25">
      <c r="A43" s="113"/>
      <c r="B43" s="113"/>
      <c r="C43" s="113"/>
      <c r="D43" s="140"/>
      <c r="E43" s="113"/>
      <c r="F43" s="142"/>
      <c r="G43" s="113"/>
      <c r="H43" s="142"/>
      <c r="I43" s="113"/>
      <c r="J43" s="113"/>
      <c r="K43" s="113"/>
      <c r="L43" s="113"/>
      <c r="M43" s="142"/>
      <c r="N43" s="113"/>
      <c r="Q43" s="113"/>
      <c r="R43" s="113"/>
      <c r="S43" s="142"/>
      <c r="T43" s="113"/>
    </row>
    <row r="44" spans="1:26" x14ac:dyDescent="0.25">
      <c r="A44" s="113"/>
      <c r="B44" s="113"/>
      <c r="C44" s="113"/>
      <c r="D44" s="140"/>
      <c r="E44" s="113"/>
      <c r="F44" s="142"/>
      <c r="G44" s="113"/>
      <c r="H44" s="142"/>
      <c r="I44" s="113"/>
      <c r="J44" s="113"/>
      <c r="K44" s="113"/>
      <c r="L44" s="113"/>
      <c r="M44" s="142"/>
      <c r="N44" s="113"/>
      <c r="O44" s="113"/>
      <c r="P44" s="113"/>
      <c r="Q44" s="113"/>
      <c r="R44" s="113"/>
      <c r="S44" s="142"/>
      <c r="T44" s="113"/>
    </row>
    <row r="45" spans="1:26" x14ac:dyDescent="0.25">
      <c r="A45" s="113"/>
      <c r="B45" s="113"/>
      <c r="C45" s="113"/>
      <c r="D45" s="140"/>
      <c r="E45" s="113"/>
      <c r="F45" s="142"/>
      <c r="G45" s="113"/>
      <c r="H45" s="142"/>
      <c r="I45" s="113"/>
      <c r="J45" s="113"/>
      <c r="K45" s="113"/>
      <c r="L45" s="113"/>
      <c r="M45" s="142"/>
      <c r="N45" s="113"/>
      <c r="O45" s="113"/>
      <c r="P45" s="113"/>
      <c r="Q45" s="113"/>
      <c r="R45" s="113"/>
      <c r="S45" s="142"/>
      <c r="T45" s="113"/>
    </row>
    <row r="46" spans="1:26" x14ac:dyDescent="0.25">
      <c r="A46" s="113"/>
      <c r="B46" s="113"/>
      <c r="C46" s="113"/>
      <c r="D46" s="140"/>
      <c r="E46" s="113"/>
      <c r="F46" s="142"/>
      <c r="G46" s="113"/>
      <c r="H46" s="142"/>
      <c r="I46" s="113"/>
      <c r="J46" s="113"/>
      <c r="K46" s="113"/>
      <c r="L46" s="113"/>
      <c r="M46" s="142"/>
      <c r="N46" s="113"/>
      <c r="O46" s="113"/>
      <c r="P46" s="113"/>
      <c r="Q46" s="113"/>
      <c r="R46" s="113"/>
      <c r="S46" s="142"/>
      <c r="T46" s="113"/>
    </row>
    <row r="47" spans="1:26" x14ac:dyDescent="0.25">
      <c r="A47" s="113"/>
      <c r="B47" s="113"/>
      <c r="C47" s="113"/>
      <c r="D47" s="140"/>
      <c r="E47" s="113"/>
      <c r="F47" s="142"/>
      <c r="G47" s="113"/>
      <c r="H47" s="142"/>
      <c r="I47" s="113"/>
      <c r="J47" s="113"/>
      <c r="K47" s="113"/>
      <c r="L47" s="113"/>
      <c r="M47" s="142"/>
      <c r="N47" s="113"/>
      <c r="O47" s="113"/>
      <c r="P47" s="113"/>
      <c r="Q47" s="113"/>
      <c r="R47" s="113"/>
      <c r="S47" s="142"/>
      <c r="T47" s="113"/>
    </row>
    <row r="48" spans="1:26" x14ac:dyDescent="0.25">
      <c r="A48" s="113"/>
      <c r="B48" s="113"/>
      <c r="C48" s="113"/>
      <c r="D48" s="140"/>
      <c r="E48" s="113"/>
      <c r="F48" s="142"/>
      <c r="G48" s="113"/>
      <c r="H48" s="142"/>
      <c r="I48" s="113"/>
      <c r="J48" s="113"/>
      <c r="K48" s="113"/>
      <c r="L48" s="113"/>
      <c r="M48" s="142"/>
      <c r="N48" s="113"/>
      <c r="O48" s="113"/>
      <c r="P48" s="113"/>
      <c r="Q48" s="113"/>
      <c r="R48" s="113"/>
      <c r="S48" s="142"/>
      <c r="T48" s="113"/>
    </row>
    <row r="49" spans="1:20" x14ac:dyDescent="0.25">
      <c r="A49" s="113"/>
      <c r="B49" s="113"/>
      <c r="C49" s="113"/>
      <c r="D49" s="140"/>
      <c r="E49" s="113"/>
      <c r="F49" s="142"/>
      <c r="G49" s="113"/>
      <c r="H49" s="142"/>
      <c r="I49" s="113"/>
      <c r="J49" s="113"/>
      <c r="K49" s="113"/>
      <c r="L49" s="113"/>
      <c r="M49" s="142"/>
      <c r="N49" s="113"/>
      <c r="O49" s="113"/>
      <c r="P49" s="113"/>
      <c r="Q49" s="113"/>
      <c r="R49" s="113"/>
      <c r="S49" s="142"/>
      <c r="T49" s="113"/>
    </row>
    <row r="50" spans="1:20" x14ac:dyDescent="0.25">
      <c r="A50" s="113"/>
      <c r="B50" s="113"/>
      <c r="C50" s="113"/>
      <c r="D50" s="140"/>
      <c r="E50" s="113"/>
      <c r="F50" s="142"/>
      <c r="G50" s="113"/>
      <c r="H50" s="142"/>
      <c r="I50" s="113"/>
      <c r="J50" s="113"/>
      <c r="K50" s="113"/>
      <c r="L50" s="113"/>
      <c r="M50" s="142"/>
      <c r="N50" s="113"/>
      <c r="O50" s="113"/>
      <c r="P50" s="113"/>
      <c r="Q50" s="113"/>
      <c r="R50" s="113"/>
      <c r="S50" s="142"/>
      <c r="T50" s="113"/>
    </row>
    <row r="51" spans="1:20" x14ac:dyDescent="0.25">
      <c r="A51" s="113"/>
      <c r="B51" s="113"/>
      <c r="C51" s="113"/>
      <c r="D51" s="140"/>
      <c r="E51" s="113"/>
      <c r="F51" s="142"/>
      <c r="G51" s="113"/>
      <c r="H51" s="142"/>
      <c r="I51" s="113"/>
      <c r="J51" s="113"/>
      <c r="K51" s="113"/>
      <c r="L51" s="113"/>
      <c r="M51" s="142"/>
      <c r="N51" s="113"/>
      <c r="O51" s="113"/>
      <c r="P51" s="113"/>
      <c r="Q51" s="113"/>
      <c r="R51" s="113"/>
      <c r="S51" s="142"/>
      <c r="T51" s="113"/>
    </row>
    <row r="52" spans="1:20" x14ac:dyDescent="0.25">
      <c r="A52" s="113"/>
      <c r="B52" s="113"/>
      <c r="C52" s="113"/>
      <c r="D52" s="140"/>
      <c r="E52" s="113"/>
      <c r="F52" s="142"/>
      <c r="G52" s="113"/>
      <c r="H52" s="142"/>
      <c r="I52" s="113"/>
      <c r="J52" s="113"/>
      <c r="K52" s="113"/>
      <c r="L52" s="113"/>
      <c r="M52" s="142"/>
      <c r="N52" s="113"/>
      <c r="O52" s="113"/>
      <c r="P52" s="113"/>
      <c r="Q52" s="113"/>
      <c r="R52" s="113"/>
      <c r="S52" s="142"/>
      <c r="T52" s="113"/>
    </row>
    <row r="53" spans="1:20" x14ac:dyDescent="0.25">
      <c r="A53" s="113"/>
      <c r="B53" s="113"/>
      <c r="C53" s="113"/>
      <c r="D53" s="140"/>
      <c r="E53" s="113"/>
      <c r="F53" s="142"/>
      <c r="G53" s="113"/>
      <c r="H53" s="142"/>
      <c r="I53" s="113"/>
      <c r="J53" s="113"/>
      <c r="K53" s="113"/>
      <c r="L53" s="113"/>
      <c r="M53" s="142"/>
      <c r="N53" s="113"/>
      <c r="O53" s="113"/>
      <c r="P53" s="113"/>
      <c r="Q53" s="113"/>
      <c r="R53" s="113"/>
      <c r="S53" s="142"/>
      <c r="T53" s="113"/>
    </row>
    <row r="54" spans="1:20" x14ac:dyDescent="0.25">
      <c r="I54" s="113"/>
      <c r="J54" s="113"/>
      <c r="K54" s="113"/>
      <c r="L54" s="113"/>
      <c r="N54" s="113"/>
      <c r="O54" s="113"/>
      <c r="P54" s="113"/>
      <c r="Q54" s="113"/>
      <c r="R54" s="113"/>
    </row>
    <row r="55" spans="1:20" x14ac:dyDescent="0.25">
      <c r="I55" s="113"/>
      <c r="J55" s="113"/>
    </row>
  </sheetData>
  <mergeCells count="5">
    <mergeCell ref="S22:S23"/>
    <mergeCell ref="Q19:Q20"/>
    <mergeCell ref="B1:C1"/>
    <mergeCell ref="K27:L27"/>
    <mergeCell ref="I17:J17"/>
  </mergeCells>
  <printOptions gridLines="1"/>
  <pageMargins left="0.25" right="0.25" top="0.75" bottom="0.75" header="0.3" footer="0.3"/>
  <pageSetup paperSize="5" orientation="landscape" r:id="rId1"/>
  <headerFooter>
    <oddHeader>&amp;CCHARTER FUND
EXPENDITURE ACCOUNTING ANALYSIS</oddHeader>
    <oddFooter>&amp;L&amp;8&amp;Z&amp;F&amp;R&amp;8&amp;D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20" sqref="E20"/>
    </sheetView>
  </sheetViews>
  <sheetFormatPr defaultRowHeight="15" x14ac:dyDescent="0.25"/>
  <cols>
    <col min="1" max="1" width="7.5703125" customWidth="1"/>
    <col min="2" max="2" width="9.85546875" style="113" bestFit="1" customWidth="1"/>
    <col min="3" max="3" width="13.28515625" style="113" customWidth="1"/>
    <col min="4" max="4" width="14.42578125" style="113" customWidth="1"/>
    <col min="5" max="5" width="13.42578125" style="113" bestFit="1" customWidth="1"/>
    <col min="6" max="6" width="16.42578125" style="113" customWidth="1"/>
    <col min="7" max="7" width="9.28515625" style="164" customWidth="1"/>
    <col min="8" max="8" width="7.7109375" style="113" customWidth="1"/>
    <col min="9" max="9" width="15.42578125" customWidth="1"/>
    <col min="10" max="10" width="18.140625" style="113" customWidth="1"/>
  </cols>
  <sheetData>
    <row r="1" spans="1:10" x14ac:dyDescent="0.25">
      <c r="A1" s="191" t="s">
        <v>134</v>
      </c>
      <c r="B1" s="191"/>
      <c r="C1" s="190" t="s">
        <v>225</v>
      </c>
      <c r="D1" s="190"/>
      <c r="E1" s="190" t="s">
        <v>228</v>
      </c>
      <c r="F1" s="190"/>
      <c r="G1" s="168" t="s">
        <v>231</v>
      </c>
      <c r="I1" t="s">
        <v>65</v>
      </c>
    </row>
    <row r="2" spans="1:10" s="68" customFormat="1" x14ac:dyDescent="0.25">
      <c r="A2" s="165" t="s">
        <v>229</v>
      </c>
      <c r="B2" s="165" t="s">
        <v>230</v>
      </c>
      <c r="C2" s="166" t="s">
        <v>226</v>
      </c>
      <c r="D2" s="166" t="s">
        <v>227</v>
      </c>
      <c r="E2" s="166" t="s">
        <v>226</v>
      </c>
      <c r="F2" s="166" t="s">
        <v>227</v>
      </c>
      <c r="G2" s="169" t="s">
        <v>232</v>
      </c>
      <c r="H2" s="167"/>
      <c r="I2" s="170" t="s">
        <v>66</v>
      </c>
      <c r="J2" s="167"/>
    </row>
    <row r="3" spans="1:10" x14ac:dyDescent="0.25">
      <c r="A3">
        <v>2005</v>
      </c>
      <c r="B3" s="113">
        <v>1500000</v>
      </c>
      <c r="F3" s="113">
        <v>1500000</v>
      </c>
    </row>
    <row r="4" spans="1:10" x14ac:dyDescent="0.25">
      <c r="A4">
        <v>2006</v>
      </c>
      <c r="B4" s="113">
        <v>3000000</v>
      </c>
      <c r="F4" s="113">
        <v>3000000</v>
      </c>
    </row>
    <row r="5" spans="1:10" x14ac:dyDescent="0.25">
      <c r="B5" s="130">
        <f>SUM(B3:B4)</f>
        <v>4500000</v>
      </c>
      <c r="C5" s="137">
        <v>-1090900</v>
      </c>
      <c r="D5" s="113">
        <v>-1090900</v>
      </c>
      <c r="E5" s="113">
        <f>B5+D5</f>
        <v>3409100</v>
      </c>
      <c r="F5" s="113">
        <v>3409100</v>
      </c>
      <c r="G5" s="164">
        <v>2006</v>
      </c>
    </row>
    <row r="6" spans="1:10" x14ac:dyDescent="0.25">
      <c r="C6" s="113">
        <v>-79082</v>
      </c>
      <c r="D6" s="113">
        <f>D5+C6</f>
        <v>-1169982</v>
      </c>
      <c r="E6" s="113">
        <f>B5+D6</f>
        <v>3330018</v>
      </c>
      <c r="F6" s="113">
        <f>F5+C6</f>
        <v>3330018</v>
      </c>
      <c r="G6" s="164">
        <v>2007</v>
      </c>
    </row>
    <row r="7" spans="1:10" x14ac:dyDescent="0.25">
      <c r="C7" s="113">
        <v>-434731</v>
      </c>
      <c r="D7" s="113">
        <f t="shared" ref="D7" si="0">D6+C7</f>
        <v>-1604713</v>
      </c>
      <c r="E7" s="113">
        <f>B5+D7</f>
        <v>2895287</v>
      </c>
      <c r="F7" s="113">
        <f>F6+C7</f>
        <v>2895287</v>
      </c>
      <c r="G7" s="164">
        <v>2008</v>
      </c>
      <c r="H7" s="113" t="s">
        <v>233</v>
      </c>
      <c r="I7" s="113"/>
    </row>
    <row r="8" spans="1:10" x14ac:dyDescent="0.25">
      <c r="C8" s="113">
        <v>-1215794</v>
      </c>
      <c r="D8" s="113">
        <f t="shared" ref="D8" si="1">D7+C8</f>
        <v>-2820507</v>
      </c>
      <c r="E8" s="113">
        <f>B5+D8</f>
        <v>1679493</v>
      </c>
      <c r="F8" s="113">
        <f>F7+C8</f>
        <v>1679493</v>
      </c>
      <c r="G8" s="164">
        <v>2008</v>
      </c>
      <c r="H8" s="113" t="s">
        <v>234</v>
      </c>
      <c r="I8" s="113"/>
    </row>
    <row r="9" spans="1:10" x14ac:dyDescent="0.25">
      <c r="C9" s="113">
        <v>-1714068</v>
      </c>
      <c r="D9" s="113">
        <f>D8+C9</f>
        <v>-4534575</v>
      </c>
      <c r="E9" s="113">
        <v>0</v>
      </c>
      <c r="F9" s="113">
        <f>F8+C9</f>
        <v>-34575</v>
      </c>
      <c r="G9" s="164">
        <v>2009</v>
      </c>
      <c r="I9" s="48">
        <v>41130</v>
      </c>
    </row>
    <row r="10" spans="1:10" x14ac:dyDescent="0.25">
      <c r="I10" s="113"/>
    </row>
    <row r="11" spans="1:10" x14ac:dyDescent="0.25">
      <c r="A11">
        <v>2007</v>
      </c>
      <c r="B11" s="113">
        <v>3000000</v>
      </c>
      <c r="C11" s="113">
        <v>-34575</v>
      </c>
      <c r="D11" s="113">
        <f>D9+C11</f>
        <v>-4569150</v>
      </c>
      <c r="E11" s="113">
        <f>B11+C11</f>
        <v>2965425</v>
      </c>
      <c r="F11" s="113">
        <f>F9+B11</f>
        <v>2965425</v>
      </c>
      <c r="G11" s="164">
        <v>2008</v>
      </c>
      <c r="I11" s="113" t="s">
        <v>236</v>
      </c>
    </row>
    <row r="12" spans="1:10" x14ac:dyDescent="0.25">
      <c r="C12" s="113">
        <v>-168256</v>
      </c>
      <c r="D12" s="113">
        <f>D11+C12</f>
        <v>-4737406</v>
      </c>
      <c r="E12" s="113">
        <f>E11+C12</f>
        <v>2797169</v>
      </c>
      <c r="F12" s="113">
        <f>F11+C12</f>
        <v>2797169</v>
      </c>
      <c r="G12" s="164">
        <v>2009</v>
      </c>
      <c r="I12" s="113"/>
    </row>
    <row r="13" spans="1:10" x14ac:dyDescent="0.25">
      <c r="A13">
        <v>2009</v>
      </c>
      <c r="B13" s="113">
        <v>6000000</v>
      </c>
      <c r="C13" s="113">
        <v>-548103</v>
      </c>
      <c r="D13" s="113">
        <f>D12+C13</f>
        <v>-5285509</v>
      </c>
      <c r="E13" s="113">
        <f>B13+C13</f>
        <v>5451897</v>
      </c>
      <c r="F13" s="113">
        <f>F12+C13+B13</f>
        <v>8249066</v>
      </c>
      <c r="G13" s="164">
        <v>2009</v>
      </c>
    </row>
    <row r="14" spans="1:10" x14ac:dyDescent="0.25">
      <c r="C14" s="113">
        <v>-2854455</v>
      </c>
      <c r="D14" s="113">
        <f>D13+C14</f>
        <v>-8139964</v>
      </c>
      <c r="E14" s="113">
        <v>2597442</v>
      </c>
      <c r="F14" s="113">
        <f t="shared" ref="F14" si="2">F13+C14</f>
        <v>5394611</v>
      </c>
      <c r="G14" s="164">
        <v>2010</v>
      </c>
    </row>
    <row r="15" spans="1:10" ht="15.75" thickBot="1" x14ac:dyDescent="0.3">
      <c r="A15" t="s">
        <v>237</v>
      </c>
      <c r="B15" s="174">
        <f>SUM(B5:B14)</f>
        <v>13500000</v>
      </c>
    </row>
    <row r="16" spans="1:10" s="171" customFormat="1" ht="8.25" customHeight="1" thickTop="1" x14ac:dyDescent="0.25">
      <c r="B16" s="172"/>
      <c r="C16" s="172"/>
      <c r="D16" s="172"/>
      <c r="E16" s="172"/>
      <c r="F16" s="172"/>
      <c r="G16" s="173"/>
      <c r="H16" s="172"/>
      <c r="J16" s="172"/>
    </row>
    <row r="17" spans="1:10" s="135" customFormat="1" ht="15" customHeight="1" x14ac:dyDescent="0.25">
      <c r="B17" s="134"/>
      <c r="C17" s="134"/>
      <c r="D17" s="134"/>
      <c r="E17" s="134"/>
      <c r="F17" s="134"/>
      <c r="G17" s="175"/>
      <c r="H17" s="134"/>
      <c r="J17" s="134"/>
    </row>
    <row r="18" spans="1:10" x14ac:dyDescent="0.25">
      <c r="A18">
        <v>2010</v>
      </c>
      <c r="B18" s="113">
        <v>3000000</v>
      </c>
    </row>
    <row r="19" spans="1:10" x14ac:dyDescent="0.25">
      <c r="C19" s="113">
        <v>-1769183</v>
      </c>
      <c r="E19" s="113">
        <v>1230817</v>
      </c>
      <c r="F19" s="113">
        <f>F14+C19</f>
        <v>3625428</v>
      </c>
      <c r="G19" s="164">
        <v>2010</v>
      </c>
      <c r="H19" s="113" t="s">
        <v>235</v>
      </c>
      <c r="I19" s="48">
        <v>41130</v>
      </c>
    </row>
  </sheetData>
  <mergeCells count="3">
    <mergeCell ref="C1:D1"/>
    <mergeCell ref="E1:F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Logs</vt:lpstr>
      <vt:lpstr>List</vt:lpstr>
      <vt:lpstr>$12.5M working</vt:lpstr>
      <vt:lpstr>$12.5M</vt:lpstr>
      <vt:lpstr>$3M</vt:lpstr>
      <vt:lpstr>Notes</vt:lpstr>
      <vt:lpstr>Orig</vt:lpstr>
      <vt:lpstr>USE</vt:lpstr>
      <vt:lpstr>Notes!Print_Area</vt:lpstr>
      <vt:lpstr>Orig!Print_Area</vt:lpstr>
      <vt:lpstr>Logs!Print_Titles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2012-08-03T14:47:52Z</cp:lastPrinted>
  <dcterms:created xsi:type="dcterms:W3CDTF">2012-07-31T13:28:13Z</dcterms:created>
  <dcterms:modified xsi:type="dcterms:W3CDTF">2012-11-06T21:22:37Z</dcterms:modified>
</cp:coreProperties>
</file>